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ynthiaalsayyah/Desktop/Revisions/Resubmission/all data Excels/"/>
    </mc:Choice>
  </mc:AlternateContent>
  <xr:revisionPtr revIDLastSave="0" documentId="13_ncr:1_{17BBE576-60D6-3A42-B94F-26779E197FFB}" xr6:coauthVersionLast="47" xr6:coauthVersionMax="47" xr10:uidLastSave="{00000000-0000-0000-0000-000000000000}"/>
  <bookViews>
    <workbookView xWindow="1140" yWindow="1820" windowWidth="29340" windowHeight="17260" xr2:uid="{00000000-000D-0000-FFFF-FFFF00000000}"/>
  </bookViews>
  <sheets>
    <sheet name="1A-B left" sheetId="23" r:id="rId1"/>
    <sheet name="1A-B right" sheetId="22" r:id="rId2"/>
    <sheet name="1F" sheetId="24" r:id="rId3"/>
    <sheet name="1G-H" sheetId="21" r:id="rId4"/>
    <sheet name="2B left" sheetId="9" r:id="rId5"/>
    <sheet name="2B right" sheetId="10" r:id="rId6"/>
    <sheet name="2C" sheetId="15" r:id="rId7"/>
    <sheet name="2E" sheetId="11" r:id="rId8"/>
    <sheet name="3A" sheetId="4" r:id="rId9"/>
    <sheet name="3E" sheetId="5" r:id="rId10"/>
    <sheet name="3F" sheetId="6" r:id="rId11"/>
    <sheet name="3G" sheetId="7" r:id="rId12"/>
    <sheet name="3H" sheetId="8" r:id="rId13"/>
    <sheet name="5B" sheetId="27" r:id="rId14"/>
    <sheet name="5D" sheetId="28" r:id="rId15"/>
    <sheet name="6A" sheetId="29" r:id="rId16"/>
    <sheet name="6B" sheetId="30" r:id="rId17"/>
    <sheet name="6C" sheetId="31" r:id="rId18"/>
    <sheet name="6D" sheetId="32" r:id="rId19"/>
    <sheet name="7A-B" sheetId="26" r:id="rId20"/>
    <sheet name="7C " sheetId="25" r:id="rId21"/>
    <sheet name="S1A" sheetId="14" r:id="rId22"/>
    <sheet name="S2C" sheetId="1" r:id="rId23"/>
    <sheet name="S2D" sheetId="2" r:id="rId24"/>
    <sheet name="S3F" sheetId="3" r:id="rId25"/>
    <sheet name="S5A" sheetId="16" r:id="rId26"/>
    <sheet name="S5B" sheetId="17" r:id="rId27"/>
    <sheet name="S5C" sheetId="18" r:id="rId28"/>
    <sheet name="S5 D-E" sheetId="19" r:id="rId29"/>
    <sheet name="S6B" sheetId="13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8" l="1"/>
  <c r="Q20" i="28"/>
  <c r="N21" i="28" s="1"/>
  <c r="P21" i="28" l="1"/>
  <c r="O21" i="28"/>
  <c r="L87" i="26" l="1"/>
  <c r="K87" i="26"/>
  <c r="J87" i="26"/>
  <c r="H87" i="26"/>
  <c r="G87" i="26"/>
  <c r="F87" i="26"/>
  <c r="D87" i="26"/>
  <c r="C87" i="26"/>
  <c r="B87" i="26"/>
  <c r="L82" i="26"/>
  <c r="K82" i="26"/>
  <c r="J82" i="26"/>
  <c r="H82" i="26"/>
  <c r="G82" i="26"/>
  <c r="F82" i="26"/>
  <c r="D82" i="26"/>
  <c r="C82" i="26"/>
  <c r="B82" i="26"/>
  <c r="L76" i="26"/>
  <c r="K76" i="26"/>
  <c r="J76" i="26"/>
  <c r="H76" i="26"/>
  <c r="G76" i="26"/>
  <c r="F76" i="26"/>
  <c r="D76" i="26"/>
  <c r="C76" i="26"/>
  <c r="B76" i="26"/>
  <c r="L71" i="26"/>
  <c r="K71" i="26"/>
  <c r="J71" i="26"/>
  <c r="H71" i="26"/>
  <c r="G71" i="26"/>
  <c r="F71" i="26"/>
  <c r="D71" i="26"/>
  <c r="C71" i="26"/>
  <c r="B71" i="26"/>
  <c r="N37" i="19" l="1"/>
  <c r="M38" i="19" s="1"/>
  <c r="I37" i="19"/>
  <c r="H38" i="19" s="1"/>
  <c r="D37" i="19"/>
  <c r="C38" i="19" s="1"/>
  <c r="N33" i="19"/>
  <c r="L34" i="19" s="1"/>
  <c r="I33" i="19"/>
  <c r="G34" i="19" s="1"/>
  <c r="D33" i="19"/>
  <c r="C34" i="19" s="1"/>
  <c r="N29" i="19"/>
  <c r="M30" i="19" s="1"/>
  <c r="I29" i="19"/>
  <c r="H30" i="19" s="1"/>
  <c r="D29" i="19"/>
  <c r="C30" i="19" s="1"/>
  <c r="N24" i="19"/>
  <c r="L25" i="19" s="1"/>
  <c r="I24" i="19"/>
  <c r="H25" i="19" s="1"/>
  <c r="D24" i="19"/>
  <c r="C25" i="19" s="1"/>
  <c r="N20" i="19"/>
  <c r="M21" i="19" s="1"/>
  <c r="I20" i="19"/>
  <c r="H21" i="19" s="1"/>
  <c r="D20" i="19"/>
  <c r="C21" i="19" s="1"/>
  <c r="N16" i="19"/>
  <c r="L17" i="19" s="1"/>
  <c r="I16" i="19"/>
  <c r="H17" i="19" s="1"/>
  <c r="D16" i="19"/>
  <c r="B17" i="19" s="1"/>
  <c r="N11" i="19"/>
  <c r="M12" i="19" s="1"/>
  <c r="I11" i="19"/>
  <c r="H12" i="19" s="1"/>
  <c r="D11" i="19"/>
  <c r="C12" i="19" s="1"/>
  <c r="W10" i="19"/>
  <c r="V10" i="19"/>
  <c r="T10" i="19"/>
  <c r="S10" i="19"/>
  <c r="Q10" i="19"/>
  <c r="P10" i="19"/>
  <c r="W7" i="19"/>
  <c r="V7" i="19"/>
  <c r="T7" i="19"/>
  <c r="S7" i="19"/>
  <c r="Q7" i="19"/>
  <c r="P7" i="19"/>
  <c r="N7" i="19"/>
  <c r="M8" i="19" s="1"/>
  <c r="I7" i="19"/>
  <c r="H8" i="19" s="1"/>
  <c r="D7" i="19"/>
  <c r="C8" i="19" s="1"/>
  <c r="W4" i="19"/>
  <c r="V4" i="19"/>
  <c r="T4" i="19"/>
  <c r="S4" i="19"/>
  <c r="Q4" i="19"/>
  <c r="P4" i="19"/>
  <c r="N3" i="19"/>
  <c r="M4" i="19" s="1"/>
  <c r="I3" i="19"/>
  <c r="H4" i="19" s="1"/>
  <c r="D3" i="19"/>
  <c r="C4" i="19" s="1"/>
  <c r="L12" i="19" l="1"/>
  <c r="L21" i="19"/>
  <c r="M34" i="19"/>
  <c r="W8" i="19" s="1"/>
  <c r="M17" i="19"/>
  <c r="W5" i="19"/>
  <c r="B4" i="19"/>
  <c r="R4" i="19" s="1"/>
  <c r="R5" i="19" s="1"/>
  <c r="L8" i="19"/>
  <c r="V8" i="19" s="1"/>
  <c r="L4" i="19"/>
  <c r="T11" i="19"/>
  <c r="B30" i="19"/>
  <c r="Q11" i="19"/>
  <c r="C17" i="19"/>
  <c r="Q5" i="19" s="1"/>
  <c r="B21" i="19"/>
  <c r="B25" i="19"/>
  <c r="B38" i="19"/>
  <c r="G12" i="19"/>
  <c r="G17" i="19"/>
  <c r="G21" i="19"/>
  <c r="G25" i="19"/>
  <c r="G38" i="19"/>
  <c r="Q8" i="19"/>
  <c r="T5" i="19"/>
  <c r="G4" i="19"/>
  <c r="G8" i="19"/>
  <c r="B12" i="19"/>
  <c r="M25" i="19"/>
  <c r="W11" i="19" s="1"/>
  <c r="L30" i="19"/>
  <c r="H34" i="19"/>
  <c r="T8" i="19" s="1"/>
  <c r="L38" i="19"/>
  <c r="X10" i="19"/>
  <c r="X11" i="19" s="1"/>
  <c r="B34" i="19"/>
  <c r="B8" i="19"/>
  <c r="G30" i="19"/>
  <c r="S11" i="19" l="1"/>
  <c r="X4" i="19"/>
  <c r="X5" i="19" s="1"/>
  <c r="P5" i="19"/>
  <c r="X7" i="19"/>
  <c r="X8" i="19" s="1"/>
  <c r="V5" i="19"/>
  <c r="U10" i="19"/>
  <c r="U11" i="19" s="1"/>
  <c r="R7" i="19"/>
  <c r="R8" i="19" s="1"/>
  <c r="P8" i="19"/>
  <c r="U4" i="19"/>
  <c r="U5" i="19" s="1"/>
  <c r="S5" i="19"/>
  <c r="P11" i="19"/>
  <c r="R10" i="19"/>
  <c r="R11" i="19" s="1"/>
  <c r="V11" i="19"/>
  <c r="S8" i="19"/>
  <c r="U7" i="19"/>
  <c r="U8" i="19" s="1"/>
  <c r="R42" i="24" l="1"/>
  <c r="Q42" i="24"/>
  <c r="R41" i="24"/>
  <c r="Q41" i="24"/>
  <c r="Q40" i="24"/>
  <c r="R40" i="24" s="1"/>
  <c r="R39" i="24"/>
  <c r="Q39" i="24"/>
  <c r="R38" i="24"/>
  <c r="Q38" i="24"/>
  <c r="Q37" i="24"/>
  <c r="R37" i="24" s="1"/>
  <c r="Q36" i="24"/>
  <c r="R36" i="24" s="1"/>
  <c r="R35" i="24"/>
  <c r="Q35" i="24"/>
  <c r="R34" i="24"/>
  <c r="Q34" i="24"/>
  <c r="Q33" i="24"/>
  <c r="R33" i="24" s="1"/>
  <c r="Q32" i="24"/>
  <c r="R32" i="24" s="1"/>
  <c r="R31" i="24"/>
  <c r="Q31" i="24"/>
  <c r="N28" i="24"/>
  <c r="D28" i="24"/>
  <c r="Q28" i="24" s="1"/>
  <c r="R28" i="24" s="1"/>
  <c r="S28" i="24" s="1"/>
  <c r="R27" i="24"/>
  <c r="S27" i="24" s="1"/>
  <c r="Q27" i="24"/>
  <c r="N26" i="24"/>
  <c r="I26" i="24"/>
  <c r="Q26" i="24" s="1"/>
  <c r="R26" i="24" s="1"/>
  <c r="S26" i="24" s="1"/>
  <c r="D26" i="24"/>
  <c r="Q25" i="24"/>
  <c r="R25" i="24" s="1"/>
  <c r="S25" i="24" s="1"/>
  <c r="Q24" i="24"/>
  <c r="R24" i="24" s="1"/>
  <c r="S24" i="24" s="1"/>
  <c r="Q23" i="24"/>
  <c r="R23" i="24" s="1"/>
  <c r="S23" i="24" s="1"/>
  <c r="I22" i="24"/>
  <c r="Q22" i="24" s="1"/>
  <c r="R22" i="24" s="1"/>
  <c r="S22" i="24" s="1"/>
  <c r="D22" i="24"/>
  <c r="Q21" i="24"/>
  <c r="R21" i="24" s="1"/>
  <c r="S21" i="24" s="1"/>
  <c r="N20" i="24"/>
  <c r="I20" i="24"/>
  <c r="Q20" i="24" s="1"/>
  <c r="R20" i="24" s="1"/>
  <c r="S20" i="24" s="1"/>
  <c r="D20" i="24"/>
  <c r="R19" i="24"/>
  <c r="S19" i="24" s="1"/>
  <c r="Q19" i="24"/>
  <c r="Q18" i="24"/>
  <c r="R18" i="24" s="1"/>
  <c r="S18" i="24" s="1"/>
  <c r="Q17" i="24"/>
  <c r="R17" i="24" s="1"/>
  <c r="S17" i="24" s="1"/>
  <c r="N14" i="24"/>
  <c r="I14" i="24"/>
  <c r="Q14" i="24" s="1"/>
  <c r="R14" i="24" s="1"/>
  <c r="S14" i="24" s="1"/>
  <c r="D14" i="24"/>
  <c r="Q13" i="24"/>
  <c r="R13" i="24" s="1"/>
  <c r="S13" i="24" s="1"/>
  <c r="R12" i="24"/>
  <c r="S12" i="24" s="1"/>
  <c r="Q12" i="24"/>
  <c r="Q11" i="24"/>
  <c r="R11" i="24" s="1"/>
  <c r="S11" i="24" s="1"/>
  <c r="R10" i="24"/>
  <c r="S10" i="24" s="1"/>
  <c r="Q10" i="24"/>
  <c r="Q9" i="24"/>
  <c r="R9" i="24" s="1"/>
  <c r="S9" i="24" s="1"/>
  <c r="N8" i="24"/>
  <c r="Q8" i="24" s="1"/>
  <c r="R8" i="24" s="1"/>
  <c r="S8" i="24" s="1"/>
  <c r="I8" i="24"/>
  <c r="D8" i="24"/>
  <c r="Q7" i="24"/>
  <c r="R7" i="24" s="1"/>
  <c r="S7" i="24" s="1"/>
  <c r="Q6" i="24"/>
  <c r="R6" i="24" s="1"/>
  <c r="S6" i="24" s="1"/>
  <c r="R5" i="24"/>
  <c r="S5" i="24" s="1"/>
  <c r="Q5" i="24"/>
  <c r="Q4" i="24"/>
  <c r="R4" i="24" s="1"/>
  <c r="S4" i="24" s="1"/>
  <c r="R3" i="24"/>
  <c r="S3" i="24" s="1"/>
  <c r="Q3" i="24"/>
  <c r="R11" i="16"/>
  <c r="Q11" i="16"/>
  <c r="Q7" i="16"/>
  <c r="R7" i="16"/>
  <c r="Q3" i="16"/>
  <c r="R3" i="16"/>
  <c r="S34" i="30"/>
  <c r="T34" i="30" s="1"/>
  <c r="R34" i="30"/>
  <c r="N34" i="30"/>
  <c r="M34" i="30"/>
  <c r="I34" i="30"/>
  <c r="J34" i="30" s="1"/>
  <c r="H34" i="30"/>
  <c r="D34" i="30"/>
  <c r="C34" i="30"/>
  <c r="S32" i="30"/>
  <c r="T32" i="30" s="1"/>
  <c r="R32" i="30"/>
  <c r="N32" i="30"/>
  <c r="M32" i="30"/>
  <c r="I32" i="30"/>
  <c r="H32" i="30"/>
  <c r="D32" i="30"/>
  <c r="C32" i="30"/>
  <c r="S30" i="30"/>
  <c r="R30" i="30"/>
  <c r="N30" i="30"/>
  <c r="M30" i="30"/>
  <c r="I30" i="30"/>
  <c r="H30" i="30"/>
  <c r="D30" i="30"/>
  <c r="C30" i="30"/>
  <c r="T25" i="30"/>
  <c r="S26" i="30" s="1"/>
  <c r="O25" i="30"/>
  <c r="N26" i="30" s="1"/>
  <c r="J25" i="30"/>
  <c r="I26" i="30" s="1"/>
  <c r="E25" i="30"/>
  <c r="C26" i="30" s="1"/>
  <c r="N24" i="30"/>
  <c r="D24" i="30"/>
  <c r="C24" i="30"/>
  <c r="T23" i="30"/>
  <c r="S24" i="30" s="1"/>
  <c r="O23" i="30"/>
  <c r="M24" i="30" s="1"/>
  <c r="J23" i="30"/>
  <c r="H24" i="30" s="1"/>
  <c r="E23" i="30"/>
  <c r="T21" i="30"/>
  <c r="S22" i="30" s="1"/>
  <c r="O21" i="30"/>
  <c r="N22" i="30" s="1"/>
  <c r="J21" i="30"/>
  <c r="I22" i="30" s="1"/>
  <c r="E21" i="30"/>
  <c r="D22" i="30" s="1"/>
  <c r="T16" i="30"/>
  <c r="S17" i="30" s="1"/>
  <c r="O16" i="30"/>
  <c r="N17" i="30" s="1"/>
  <c r="J16" i="30"/>
  <c r="I17" i="30" s="1"/>
  <c r="E16" i="30"/>
  <c r="D17" i="30" s="1"/>
  <c r="T14" i="30"/>
  <c r="S15" i="30" s="1"/>
  <c r="O14" i="30"/>
  <c r="N15" i="30" s="1"/>
  <c r="J14" i="30"/>
  <c r="I15" i="30" s="1"/>
  <c r="E14" i="30"/>
  <c r="D15" i="30" s="1"/>
  <c r="T12" i="30"/>
  <c r="S13" i="30" s="1"/>
  <c r="O12" i="30"/>
  <c r="N13" i="30" s="1"/>
  <c r="J12" i="30"/>
  <c r="H13" i="30" s="1"/>
  <c r="E12" i="30"/>
  <c r="C13" i="30" s="1"/>
  <c r="T7" i="30"/>
  <c r="S8" i="30" s="1"/>
  <c r="O7" i="30"/>
  <c r="N8" i="30" s="1"/>
  <c r="J7" i="30"/>
  <c r="I8" i="30" s="1"/>
  <c r="E7" i="30"/>
  <c r="C8" i="30" s="1"/>
  <c r="N6" i="30"/>
  <c r="T5" i="30"/>
  <c r="S6" i="30" s="1"/>
  <c r="O5" i="30"/>
  <c r="M6" i="30" s="1"/>
  <c r="J5" i="30"/>
  <c r="I6" i="30" s="1"/>
  <c r="E5" i="30"/>
  <c r="D6" i="30" s="1"/>
  <c r="T3" i="30"/>
  <c r="S4" i="30" s="1"/>
  <c r="O3" i="30"/>
  <c r="N4" i="30" s="1"/>
  <c r="J3" i="30"/>
  <c r="I4" i="30" s="1"/>
  <c r="E3" i="30"/>
  <c r="D4" i="30" s="1"/>
  <c r="E30" i="30" l="1"/>
  <c r="E32" i="30"/>
  <c r="N33" i="30"/>
  <c r="I13" i="30"/>
  <c r="I31" i="30" s="1"/>
  <c r="M13" i="30"/>
  <c r="H6" i="30"/>
  <c r="R8" i="30"/>
  <c r="M17" i="30"/>
  <c r="O32" i="30"/>
  <c r="J32" i="30"/>
  <c r="J30" i="30"/>
  <c r="N39" i="30"/>
  <c r="N40" i="30" s="1"/>
  <c r="O30" i="30"/>
  <c r="C17" i="30"/>
  <c r="C41" i="30" s="1"/>
  <c r="C42" i="30" s="1"/>
  <c r="R26" i="30"/>
  <c r="O34" i="30"/>
  <c r="C6" i="30"/>
  <c r="D13" i="30"/>
  <c r="D37" i="30" s="1"/>
  <c r="D38" i="30" s="1"/>
  <c r="H17" i="30"/>
  <c r="R22" i="30"/>
  <c r="I24" i="30"/>
  <c r="I33" i="30" s="1"/>
  <c r="R4" i="30"/>
  <c r="E34" i="30"/>
  <c r="T30" i="30"/>
  <c r="R15" i="30"/>
  <c r="S37" i="30"/>
  <c r="S38" i="30" s="1"/>
  <c r="S31" i="30"/>
  <c r="S39" i="30"/>
  <c r="S40" i="30" s="1"/>
  <c r="S33" i="30"/>
  <c r="I41" i="30"/>
  <c r="I42" i="30" s="1"/>
  <c r="I35" i="30"/>
  <c r="I37" i="30"/>
  <c r="I38" i="30" s="1"/>
  <c r="N41" i="30"/>
  <c r="N42" i="30" s="1"/>
  <c r="N35" i="30"/>
  <c r="N37" i="30"/>
  <c r="N38" i="30" s="1"/>
  <c r="N31" i="30"/>
  <c r="D33" i="30"/>
  <c r="S41" i="30"/>
  <c r="S42" i="30" s="1"/>
  <c r="S35" i="30"/>
  <c r="M4" i="30"/>
  <c r="M8" i="30"/>
  <c r="M15" i="30"/>
  <c r="M33" i="30" s="1"/>
  <c r="M22" i="30"/>
  <c r="M26" i="30"/>
  <c r="D39" i="30"/>
  <c r="D40" i="30" s="1"/>
  <c r="I39" i="30"/>
  <c r="I40" i="30" s="1"/>
  <c r="C4" i="30"/>
  <c r="C15" i="30"/>
  <c r="C22" i="30"/>
  <c r="D8" i="30"/>
  <c r="D26" i="30"/>
  <c r="H4" i="30"/>
  <c r="R6" i="30"/>
  <c r="H8" i="30"/>
  <c r="R13" i="30"/>
  <c r="R37" i="30" s="1"/>
  <c r="R38" i="30" s="1"/>
  <c r="H15" i="30"/>
  <c r="R17" i="30"/>
  <c r="H22" i="30"/>
  <c r="R24" i="30"/>
  <c r="H26" i="30"/>
  <c r="D31" i="30" l="1"/>
  <c r="R31" i="30"/>
  <c r="H33" i="30"/>
  <c r="C33" i="30"/>
  <c r="C35" i="30"/>
  <c r="M39" i="30"/>
  <c r="M40" i="30" s="1"/>
  <c r="C39" i="30"/>
  <c r="C40" i="30" s="1"/>
  <c r="H39" i="30"/>
  <c r="H40" i="30" s="1"/>
  <c r="R41" i="30"/>
  <c r="R42" i="30" s="1"/>
  <c r="D41" i="30"/>
  <c r="D42" i="30" s="1"/>
  <c r="D35" i="30"/>
  <c r="H31" i="30"/>
  <c r="H37" i="30"/>
  <c r="H38" i="30" s="1"/>
  <c r="R39" i="30"/>
  <c r="R40" i="30" s="1"/>
  <c r="R33" i="30"/>
  <c r="C37" i="30"/>
  <c r="C38" i="30" s="1"/>
  <c r="C31" i="30"/>
  <c r="M35" i="30"/>
  <c r="M41" i="30"/>
  <c r="M42" i="30" s="1"/>
  <c r="R35" i="30"/>
  <c r="H41" i="30"/>
  <c r="H42" i="30" s="1"/>
  <c r="H35" i="30"/>
  <c r="M31" i="30"/>
  <c r="M37" i="30"/>
  <c r="M38" i="30" s="1"/>
  <c r="H59" i="18" l="1"/>
  <c r="G59" i="18"/>
  <c r="H53" i="18"/>
  <c r="G53" i="18"/>
  <c r="H47" i="18"/>
  <c r="G47" i="18"/>
  <c r="C59" i="18"/>
  <c r="B59" i="18"/>
  <c r="C53" i="18"/>
  <c r="B53" i="18"/>
  <c r="C47" i="18"/>
  <c r="B47" i="18"/>
  <c r="I41" i="18"/>
  <c r="H42" i="18" s="1"/>
  <c r="D41" i="18"/>
  <c r="C42" i="18" s="1"/>
  <c r="I37" i="18"/>
  <c r="G38" i="18" s="1"/>
  <c r="D37" i="18"/>
  <c r="C38" i="18" s="1"/>
  <c r="I33" i="18"/>
  <c r="H34" i="18" s="1"/>
  <c r="D33" i="18"/>
  <c r="C34" i="18" s="1"/>
  <c r="I27" i="18"/>
  <c r="H28" i="18" s="1"/>
  <c r="D27" i="18"/>
  <c r="C28" i="18" s="1"/>
  <c r="I23" i="18"/>
  <c r="H24" i="18" s="1"/>
  <c r="D23" i="18"/>
  <c r="C24" i="18" s="1"/>
  <c r="I19" i="18"/>
  <c r="H20" i="18" s="1"/>
  <c r="D19" i="18"/>
  <c r="C20" i="18" s="1"/>
  <c r="I13" i="18"/>
  <c r="H14" i="18" s="1"/>
  <c r="D13" i="18"/>
  <c r="C14" i="18" s="1"/>
  <c r="I9" i="18"/>
  <c r="H10" i="18" s="1"/>
  <c r="D9" i="18"/>
  <c r="C10" i="18" s="1"/>
  <c r="I4" i="18"/>
  <c r="H5" i="18" s="1"/>
  <c r="D4" i="18"/>
  <c r="C5" i="18" s="1"/>
  <c r="C48" i="18" l="1"/>
  <c r="H38" i="18"/>
  <c r="H54" i="18" s="1"/>
  <c r="H60" i="18"/>
  <c r="B14" i="18"/>
  <c r="H48" i="18"/>
  <c r="C54" i="18"/>
  <c r="C60" i="18"/>
  <c r="G34" i="18"/>
  <c r="G14" i="18"/>
  <c r="G20" i="18"/>
  <c r="B34" i="18"/>
  <c r="B10" i="18"/>
  <c r="B28" i="18"/>
  <c r="B5" i="18"/>
  <c r="G10" i="18"/>
  <c r="B24" i="18"/>
  <c r="G28" i="18"/>
  <c r="B42" i="18"/>
  <c r="G5" i="18"/>
  <c r="B20" i="18"/>
  <c r="G24" i="18"/>
  <c r="B38" i="18"/>
  <c r="G42" i="18"/>
  <c r="B54" i="18" l="1"/>
  <c r="G54" i="18"/>
  <c r="B48" i="18"/>
  <c r="B60" i="18"/>
  <c r="G48" i="18"/>
  <c r="G60" i="18"/>
  <c r="I53" i="18" l="1"/>
  <c r="D47" i="18"/>
  <c r="I47" i="18" l="1"/>
  <c r="D59" i="18"/>
  <c r="D53" i="18"/>
  <c r="I59" i="18"/>
  <c r="T14" i="28" l="1"/>
  <c r="T42" i="28"/>
  <c r="Q42" i="28"/>
  <c r="P43" i="28" s="1"/>
  <c r="K42" i="28"/>
  <c r="J43" i="28" s="1"/>
  <c r="E42" i="28"/>
  <c r="D43" i="28" s="1"/>
  <c r="T39" i="28"/>
  <c r="Q39" i="28"/>
  <c r="P40" i="28" s="1"/>
  <c r="K39" i="28"/>
  <c r="J40" i="28" s="1"/>
  <c r="E39" i="28"/>
  <c r="C40" i="28" s="1"/>
  <c r="T36" i="28"/>
  <c r="Q36" i="28"/>
  <c r="P37" i="28" s="1"/>
  <c r="K36" i="28"/>
  <c r="H37" i="28" s="1"/>
  <c r="E36" i="28"/>
  <c r="C37" i="28" s="1"/>
  <c r="T31" i="28"/>
  <c r="Q31" i="28"/>
  <c r="K31" i="28"/>
  <c r="J32" i="28" s="1"/>
  <c r="E31" i="28"/>
  <c r="D32" i="28" s="1"/>
  <c r="T28" i="28"/>
  <c r="Q28" i="28"/>
  <c r="P29" i="28" s="1"/>
  <c r="K28" i="28"/>
  <c r="H29" i="28" s="1"/>
  <c r="E28" i="28"/>
  <c r="D29" i="28" s="1"/>
  <c r="T25" i="28"/>
  <c r="Q25" i="28"/>
  <c r="O26" i="28" s="1"/>
  <c r="K25" i="28"/>
  <c r="E25" i="28"/>
  <c r="C26" i="28" s="1"/>
  <c r="T20" i="28"/>
  <c r="K20" i="28"/>
  <c r="E20" i="28"/>
  <c r="B21" i="28" s="1"/>
  <c r="T17" i="28"/>
  <c r="Q17" i="28"/>
  <c r="O18" i="28" s="1"/>
  <c r="K17" i="28"/>
  <c r="I18" i="28" s="1"/>
  <c r="E17" i="28"/>
  <c r="Q14" i="28"/>
  <c r="P15" i="28" s="1"/>
  <c r="K14" i="28"/>
  <c r="J15" i="28" s="1"/>
  <c r="E14" i="28"/>
  <c r="D15" i="28" s="1"/>
  <c r="T9" i="28"/>
  <c r="Q9" i="28"/>
  <c r="P10" i="28" s="1"/>
  <c r="K9" i="28"/>
  <c r="E9" i="28"/>
  <c r="C10" i="28" s="1"/>
  <c r="T6" i="28"/>
  <c r="Q6" i="28"/>
  <c r="P7" i="28" s="1"/>
  <c r="K6" i="28"/>
  <c r="H7" i="28" s="1"/>
  <c r="E6" i="28"/>
  <c r="C7" i="28" s="1"/>
  <c r="T3" i="28"/>
  <c r="Q3" i="28"/>
  <c r="P4" i="28" s="1"/>
  <c r="K3" i="28"/>
  <c r="J4" i="28" s="1"/>
  <c r="E3" i="28"/>
  <c r="D4" i="28" s="1"/>
  <c r="T21" i="28" l="1"/>
  <c r="N10" i="28"/>
  <c r="J18" i="28"/>
  <c r="O29" i="28"/>
  <c r="C4" i="28"/>
  <c r="B40" i="28"/>
  <c r="N29" i="28"/>
  <c r="D40" i="28"/>
  <c r="N40" i="28"/>
  <c r="I21" i="28"/>
  <c r="O10" i="28"/>
  <c r="J21" i="28"/>
  <c r="H32" i="28"/>
  <c r="J7" i="28"/>
  <c r="H18" i="28"/>
  <c r="B29" i="28"/>
  <c r="T29" i="28" s="1"/>
  <c r="H43" i="28"/>
  <c r="H4" i="28"/>
  <c r="I32" i="28"/>
  <c r="I4" i="28"/>
  <c r="B43" i="28"/>
  <c r="B15" i="28"/>
  <c r="I43" i="28"/>
  <c r="H15" i="28"/>
  <c r="D37" i="28"/>
  <c r="B26" i="28"/>
  <c r="D7" i="28"/>
  <c r="D10" i="28"/>
  <c r="I15" i="28"/>
  <c r="D26" i="28"/>
  <c r="I37" i="28"/>
  <c r="O40" i="28"/>
  <c r="P26" i="28"/>
  <c r="B10" i="28"/>
  <c r="B4" i="28"/>
  <c r="I7" i="28"/>
  <c r="N15" i="28"/>
  <c r="D21" i="28"/>
  <c r="N26" i="28"/>
  <c r="B32" i="28"/>
  <c r="J37" i="28"/>
  <c r="N43" i="28"/>
  <c r="J10" i="28"/>
  <c r="I10" i="28"/>
  <c r="H10" i="28"/>
  <c r="B18" i="28"/>
  <c r="D18" i="28"/>
  <c r="I26" i="28"/>
  <c r="H26" i="28"/>
  <c r="C18" i="28"/>
  <c r="W20" i="28"/>
  <c r="W21" i="28" s="1"/>
  <c r="P32" i="28"/>
  <c r="O32" i="28"/>
  <c r="N4" i="28"/>
  <c r="J29" i="28"/>
  <c r="I29" i="28"/>
  <c r="O4" i="28"/>
  <c r="N32" i="28"/>
  <c r="N18" i="28"/>
  <c r="P18" i="28"/>
  <c r="O37" i="28"/>
  <c r="N37" i="28"/>
  <c r="O7" i="28"/>
  <c r="N7" i="28"/>
  <c r="C21" i="28"/>
  <c r="J26" i="28"/>
  <c r="C29" i="28"/>
  <c r="C32" i="28"/>
  <c r="C15" i="28"/>
  <c r="O15" i="28"/>
  <c r="H40" i="28"/>
  <c r="C43" i="28"/>
  <c r="O43" i="28"/>
  <c r="B7" i="28"/>
  <c r="B37" i="28"/>
  <c r="I40" i="28"/>
  <c r="T18" i="28" l="1"/>
  <c r="T32" i="28"/>
  <c r="T15" i="28"/>
  <c r="T43" i="28"/>
  <c r="T40" i="28"/>
  <c r="W6" i="28"/>
  <c r="W7" i="28" s="1"/>
  <c r="T7" i="28"/>
  <c r="T10" i="28"/>
  <c r="T26" i="28"/>
  <c r="T37" i="28"/>
  <c r="T4" i="28"/>
  <c r="W28" i="28"/>
  <c r="W29" i="28" s="1"/>
  <c r="W39" i="28"/>
  <c r="W40" i="28" s="1"/>
  <c r="W3" i="28"/>
  <c r="W4" i="28" s="1"/>
  <c r="W42" i="28"/>
  <c r="W43" i="28" s="1"/>
  <c r="W9" i="28"/>
  <c r="W10" i="28" s="1"/>
  <c r="W25" i="28"/>
  <c r="W26" i="28" s="1"/>
  <c r="W14" i="28"/>
  <c r="W15" i="28" s="1"/>
  <c r="W31" i="28"/>
  <c r="W32" i="28" s="1"/>
  <c r="W36" i="28"/>
  <c r="W37" i="28" s="1"/>
  <c r="W17" i="28"/>
  <c r="W18" i="28" s="1"/>
  <c r="D12" i="7" l="1"/>
  <c r="C12" i="7"/>
  <c r="B12" i="7"/>
  <c r="B15" i="7" s="1"/>
  <c r="D11" i="7"/>
  <c r="C11" i="7"/>
  <c r="B11" i="7"/>
  <c r="N7" i="7"/>
  <c r="I6" i="7"/>
  <c r="N5" i="7"/>
  <c r="N6" i="7" s="1"/>
  <c r="M5" i="7"/>
  <c r="M7" i="7" s="1"/>
  <c r="L5" i="7"/>
  <c r="L7" i="7" s="1"/>
  <c r="I5" i="7"/>
  <c r="I7" i="7" s="1"/>
  <c r="H5" i="7"/>
  <c r="H6" i="7" s="1"/>
  <c r="G5" i="7"/>
  <c r="G7" i="7" s="1"/>
  <c r="D5" i="7"/>
  <c r="D7" i="7" s="1"/>
  <c r="C5" i="7"/>
  <c r="C13" i="7" s="1"/>
  <c r="B5" i="7"/>
  <c r="B13" i="7" s="1"/>
  <c r="C15" i="7" l="1"/>
  <c r="C6" i="7"/>
  <c r="C14" i="7"/>
  <c r="D17" i="7"/>
  <c r="D19" i="7" s="1"/>
  <c r="B7" i="7"/>
  <c r="B17" i="7" s="1"/>
  <c r="B19" i="7" s="1"/>
  <c r="C7" i="7"/>
  <c r="H7" i="7"/>
  <c r="C17" i="7" s="1"/>
  <c r="C19" i="7" s="1"/>
  <c r="D15" i="7"/>
  <c r="B14" i="7"/>
  <c r="D6" i="7"/>
  <c r="D16" i="7" s="1"/>
  <c r="D18" i="7" s="1"/>
  <c r="D13" i="7"/>
  <c r="D14" i="7" s="1"/>
  <c r="G6" i="7"/>
  <c r="L6" i="7"/>
  <c r="M6" i="7"/>
  <c r="C16" i="7" s="1"/>
  <c r="C18" i="7" s="1"/>
  <c r="B6" i="7"/>
  <c r="B16" i="7" s="1"/>
  <c r="B18" i="7" s="1"/>
  <c r="M7" i="8" l="1"/>
  <c r="G7" i="8"/>
  <c r="N6" i="8"/>
  <c r="L7" i="8" s="1"/>
  <c r="I6" i="8"/>
  <c r="H7" i="8" s="1"/>
  <c r="D6" i="8"/>
  <c r="C7" i="8" s="1"/>
  <c r="M5" i="8"/>
  <c r="L5" i="8"/>
  <c r="H5" i="8"/>
  <c r="N4" i="8"/>
  <c r="I4" i="8"/>
  <c r="G5" i="8" s="1"/>
  <c r="D4" i="8"/>
  <c r="C5" i="8" s="1"/>
  <c r="N2" i="8"/>
  <c r="M3" i="8" s="1"/>
  <c r="I2" i="8"/>
  <c r="H3" i="8" s="1"/>
  <c r="D2" i="8"/>
  <c r="C3" i="8" s="1"/>
  <c r="N6" i="6"/>
  <c r="M7" i="6" s="1"/>
  <c r="I6" i="6"/>
  <c r="H7" i="6" s="1"/>
  <c r="D6" i="6"/>
  <c r="C7" i="6" s="1"/>
  <c r="N4" i="6"/>
  <c r="L5" i="6" s="1"/>
  <c r="I4" i="6"/>
  <c r="G5" i="6" s="1"/>
  <c r="D4" i="6"/>
  <c r="C5" i="6" s="1"/>
  <c r="N2" i="6"/>
  <c r="M3" i="6" s="1"/>
  <c r="I2" i="6"/>
  <c r="H3" i="6" s="1"/>
  <c r="D2" i="6"/>
  <c r="C3" i="6" s="1"/>
  <c r="M5" i="6" l="1"/>
  <c r="G7" i="6"/>
  <c r="L3" i="8"/>
  <c r="B3" i="8"/>
  <c r="B5" i="8"/>
  <c r="G3" i="8"/>
  <c r="B7" i="8"/>
  <c r="L3" i="6"/>
  <c r="L7" i="6"/>
  <c r="H5" i="6"/>
  <c r="B3" i="6"/>
  <c r="B5" i="6"/>
  <c r="G3" i="6"/>
  <c r="B7" i="6"/>
  <c r="V34" i="31" l="1"/>
  <c r="U34" i="31"/>
  <c r="Q34" i="31"/>
  <c r="P34" i="31"/>
  <c r="V32" i="31"/>
  <c r="U32" i="31"/>
  <c r="Q32" i="31"/>
  <c r="P32" i="31"/>
  <c r="V30" i="31"/>
  <c r="U30" i="31"/>
  <c r="P30" i="31"/>
  <c r="W25" i="31"/>
  <c r="V26" i="31" s="1"/>
  <c r="R25" i="31"/>
  <c r="Q26" i="31" s="1"/>
  <c r="W23" i="31"/>
  <c r="U24" i="31" s="1"/>
  <c r="R23" i="31"/>
  <c r="Q24" i="31" s="1"/>
  <c r="P22" i="31"/>
  <c r="W21" i="31"/>
  <c r="V22" i="31" s="1"/>
  <c r="R21" i="31"/>
  <c r="Q22" i="31" s="1"/>
  <c r="W16" i="31"/>
  <c r="V17" i="31" s="1"/>
  <c r="R16" i="31"/>
  <c r="Q17" i="31" s="1"/>
  <c r="W14" i="31"/>
  <c r="V15" i="31" s="1"/>
  <c r="R14" i="31"/>
  <c r="Q15" i="31" s="1"/>
  <c r="W12" i="31"/>
  <c r="U13" i="31" s="1"/>
  <c r="R12" i="31"/>
  <c r="Q13" i="31" s="1"/>
  <c r="W7" i="31"/>
  <c r="V8" i="31" s="1"/>
  <c r="R7" i="31"/>
  <c r="W5" i="31"/>
  <c r="V6" i="31" s="1"/>
  <c r="R5" i="31"/>
  <c r="W3" i="31"/>
  <c r="Q3" i="31"/>
  <c r="R34" i="31" l="1"/>
  <c r="V13" i="31"/>
  <c r="R32" i="31"/>
  <c r="V35" i="31"/>
  <c r="V24" i="31"/>
  <c r="P8" i="31"/>
  <c r="U22" i="31"/>
  <c r="P26" i="31"/>
  <c r="P41" i="31" s="1"/>
  <c r="P42" i="31" s="1"/>
  <c r="Q8" i="31"/>
  <c r="Q35" i="31" s="1"/>
  <c r="U8" i="31"/>
  <c r="P15" i="31"/>
  <c r="W30" i="31"/>
  <c r="V33" i="31"/>
  <c r="V39" i="31"/>
  <c r="V40" i="31" s="1"/>
  <c r="V41" i="31"/>
  <c r="V42" i="31" s="1"/>
  <c r="U17" i="31"/>
  <c r="U4" i="31"/>
  <c r="P13" i="31"/>
  <c r="U15" i="31"/>
  <c r="P24" i="31"/>
  <c r="U26" i="31"/>
  <c r="V4" i="31"/>
  <c r="W32" i="31"/>
  <c r="Q41" i="31"/>
  <c r="Q42" i="31" s="1"/>
  <c r="W34" i="31"/>
  <c r="R3" i="31"/>
  <c r="Q4" i="31" s="1"/>
  <c r="P6" i="31"/>
  <c r="P17" i="31"/>
  <c r="Q30" i="31"/>
  <c r="Q6" i="31"/>
  <c r="U6" i="31"/>
  <c r="P35" i="31" l="1"/>
  <c r="U33" i="31"/>
  <c r="U39" i="31"/>
  <c r="U40" i="31" s="1"/>
  <c r="U37" i="31"/>
  <c r="U38" i="31" s="1"/>
  <c r="U31" i="31"/>
  <c r="U35" i="31"/>
  <c r="U41" i="31"/>
  <c r="U42" i="31" s="1"/>
  <c r="Q33" i="31"/>
  <c r="Q39" i="31"/>
  <c r="Q40" i="31" s="1"/>
  <c r="V37" i="31"/>
  <c r="V38" i="31" s="1"/>
  <c r="V31" i="31"/>
  <c r="Q37" i="31"/>
  <c r="Q38" i="31" s="1"/>
  <c r="Q31" i="31"/>
  <c r="P33" i="31"/>
  <c r="P39" i="31"/>
  <c r="P40" i="31" s="1"/>
  <c r="R30" i="31"/>
  <c r="P4" i="31"/>
  <c r="P37" i="31" l="1"/>
  <c r="P38" i="31" s="1"/>
  <c r="P31" i="31"/>
  <c r="I34" i="31" l="1"/>
  <c r="H34" i="31"/>
  <c r="D34" i="31"/>
  <c r="C34" i="31"/>
  <c r="I32" i="31"/>
  <c r="H32" i="31"/>
  <c r="D32" i="31"/>
  <c r="C32" i="31"/>
  <c r="I30" i="31"/>
  <c r="H30" i="31"/>
  <c r="J30" i="31" s="1"/>
  <c r="D30" i="31"/>
  <c r="C30" i="31"/>
  <c r="J25" i="31"/>
  <c r="I26" i="31" s="1"/>
  <c r="E25" i="31"/>
  <c r="D26" i="31" s="1"/>
  <c r="J23" i="31"/>
  <c r="I24" i="31" s="1"/>
  <c r="E23" i="31"/>
  <c r="C24" i="31" s="1"/>
  <c r="J21" i="31"/>
  <c r="I22" i="31" s="1"/>
  <c r="E21" i="31"/>
  <c r="D22" i="31" s="1"/>
  <c r="J16" i="31"/>
  <c r="I17" i="31" s="1"/>
  <c r="E16" i="31"/>
  <c r="D17" i="31" s="1"/>
  <c r="J14" i="31"/>
  <c r="I15" i="31" s="1"/>
  <c r="E14" i="31"/>
  <c r="D15" i="31" s="1"/>
  <c r="J12" i="31"/>
  <c r="I13" i="31" s="1"/>
  <c r="E12" i="31"/>
  <c r="C13" i="31" s="1"/>
  <c r="J7" i="31"/>
  <c r="H8" i="31" s="1"/>
  <c r="E7" i="31"/>
  <c r="C8" i="31" s="1"/>
  <c r="J5" i="31"/>
  <c r="I6" i="31" s="1"/>
  <c r="E5" i="31"/>
  <c r="D6" i="31" s="1"/>
  <c r="J3" i="31"/>
  <c r="I4" i="31" s="1"/>
  <c r="E3" i="31"/>
  <c r="D4" i="31" s="1"/>
  <c r="H26" i="31" l="1"/>
  <c r="E34" i="31"/>
  <c r="J32" i="31"/>
  <c r="I31" i="31"/>
  <c r="H15" i="31"/>
  <c r="H4" i="31"/>
  <c r="H24" i="31"/>
  <c r="D13" i="31"/>
  <c r="D31" i="31" s="1"/>
  <c r="D24" i="31"/>
  <c r="D33" i="31" s="1"/>
  <c r="E30" i="31"/>
  <c r="H13" i="31"/>
  <c r="E32" i="31"/>
  <c r="J34" i="31"/>
  <c r="H35" i="31"/>
  <c r="H41" i="31"/>
  <c r="H42" i="31" s="1"/>
  <c r="I33" i="31"/>
  <c r="I39" i="31"/>
  <c r="I40" i="31" s="1"/>
  <c r="C22" i="31"/>
  <c r="D8" i="31"/>
  <c r="I37" i="31"/>
  <c r="I38" i="31" s="1"/>
  <c r="H22" i="31"/>
  <c r="I8" i="31"/>
  <c r="C4" i="31"/>
  <c r="H6" i="31"/>
  <c r="C15" i="31"/>
  <c r="H17" i="31"/>
  <c r="C26" i="31"/>
  <c r="C6" i="31"/>
  <c r="C17" i="31"/>
  <c r="C35" i="31" s="1"/>
  <c r="D39" i="31" l="1"/>
  <c r="D40" i="31" s="1"/>
  <c r="D37" i="31"/>
  <c r="D38" i="31" s="1"/>
  <c r="H31" i="31"/>
  <c r="C33" i="31"/>
  <c r="C39" i="31"/>
  <c r="C40" i="31" s="1"/>
  <c r="D35" i="31"/>
  <c r="D41" i="31"/>
  <c r="D42" i="31" s="1"/>
  <c r="C41" i="31"/>
  <c r="C42" i="31" s="1"/>
  <c r="H37" i="31"/>
  <c r="H38" i="31" s="1"/>
  <c r="H33" i="31"/>
  <c r="H39" i="31"/>
  <c r="H40" i="31" s="1"/>
  <c r="C37" i="31"/>
  <c r="C38" i="31" s="1"/>
  <c r="C31" i="31"/>
  <c r="I35" i="31"/>
  <c r="I41" i="31"/>
  <c r="I42" i="31" s="1"/>
  <c r="T9" i="17" l="1"/>
  <c r="T6" i="17"/>
  <c r="T42" i="17"/>
  <c r="Q42" i="17"/>
  <c r="P43" i="17" s="1"/>
  <c r="K42" i="17"/>
  <c r="I43" i="17" s="1"/>
  <c r="E42" i="17"/>
  <c r="D43" i="17" s="1"/>
  <c r="O40" i="17"/>
  <c r="B40" i="17"/>
  <c r="T39" i="17"/>
  <c r="Q39" i="17"/>
  <c r="P40" i="17" s="1"/>
  <c r="K39" i="17"/>
  <c r="H40" i="17" s="1"/>
  <c r="E39" i="17"/>
  <c r="C40" i="17" s="1"/>
  <c r="T36" i="17"/>
  <c r="Q36" i="17"/>
  <c r="O37" i="17" s="1"/>
  <c r="K36" i="17"/>
  <c r="J37" i="17" s="1"/>
  <c r="E36" i="17"/>
  <c r="B37" i="17" s="1"/>
  <c r="T31" i="17"/>
  <c r="Q31" i="17"/>
  <c r="P32" i="17" s="1"/>
  <c r="K31" i="17"/>
  <c r="I32" i="17" s="1"/>
  <c r="E31" i="17"/>
  <c r="D32" i="17" s="1"/>
  <c r="T28" i="17"/>
  <c r="Q28" i="17"/>
  <c r="P29" i="17" s="1"/>
  <c r="K28" i="17"/>
  <c r="J29" i="17" s="1"/>
  <c r="E28" i="17"/>
  <c r="D29" i="17" s="1"/>
  <c r="P25" i="17"/>
  <c r="O25" i="17"/>
  <c r="N25" i="17"/>
  <c r="K25" i="17"/>
  <c r="J26" i="17" s="1"/>
  <c r="E25" i="17"/>
  <c r="C26" i="17" s="1"/>
  <c r="T20" i="17"/>
  <c r="Q20" i="17"/>
  <c r="P21" i="17" s="1"/>
  <c r="K20" i="17"/>
  <c r="J21" i="17" s="1"/>
  <c r="E20" i="17"/>
  <c r="C21" i="17" s="1"/>
  <c r="T17" i="17"/>
  <c r="Q17" i="17"/>
  <c r="P18" i="17" s="1"/>
  <c r="K17" i="17"/>
  <c r="I18" i="17" s="1"/>
  <c r="E17" i="17"/>
  <c r="C18" i="17" s="1"/>
  <c r="B15" i="17"/>
  <c r="T14" i="17"/>
  <c r="Q14" i="17"/>
  <c r="P15" i="17" s="1"/>
  <c r="K14" i="17"/>
  <c r="H15" i="17" s="1"/>
  <c r="E14" i="17"/>
  <c r="D15" i="17" s="1"/>
  <c r="Q9" i="17"/>
  <c r="N10" i="17" s="1"/>
  <c r="K9" i="17"/>
  <c r="H10" i="17" s="1"/>
  <c r="E9" i="17"/>
  <c r="B10" i="17" s="1"/>
  <c r="H7" i="17"/>
  <c r="Q6" i="17"/>
  <c r="P7" i="17" s="1"/>
  <c r="K6" i="17"/>
  <c r="I7" i="17" s="1"/>
  <c r="E6" i="17"/>
  <c r="C7" i="17" s="1"/>
  <c r="T3" i="17"/>
  <c r="Q3" i="17"/>
  <c r="P4" i="17" s="1"/>
  <c r="K3" i="17"/>
  <c r="I4" i="17" s="1"/>
  <c r="E3" i="17"/>
  <c r="C4" i="17" s="1"/>
  <c r="X34" i="32"/>
  <c r="Y34" i="32" s="1"/>
  <c r="W34" i="32"/>
  <c r="S34" i="32"/>
  <c r="T34" i="32" s="1"/>
  <c r="R34" i="32"/>
  <c r="N34" i="32"/>
  <c r="M34" i="32"/>
  <c r="I34" i="32"/>
  <c r="J34" i="32" s="1"/>
  <c r="H34" i="32"/>
  <c r="D34" i="32"/>
  <c r="C34" i="32"/>
  <c r="X32" i="32"/>
  <c r="W32" i="32"/>
  <c r="S32" i="32"/>
  <c r="R32" i="32"/>
  <c r="N32" i="32"/>
  <c r="M32" i="32"/>
  <c r="I32" i="32"/>
  <c r="H32" i="32"/>
  <c r="D32" i="32"/>
  <c r="C32" i="32"/>
  <c r="X30" i="32"/>
  <c r="W30" i="32"/>
  <c r="S30" i="32"/>
  <c r="R30" i="32"/>
  <c r="N30" i="32"/>
  <c r="M30" i="32"/>
  <c r="I30" i="32"/>
  <c r="H30" i="32"/>
  <c r="D30" i="32"/>
  <c r="C30" i="32"/>
  <c r="M26" i="32"/>
  <c r="Y25" i="32"/>
  <c r="W26" i="32" s="1"/>
  <c r="T25" i="32"/>
  <c r="R26" i="32" s="1"/>
  <c r="O25" i="32"/>
  <c r="N26" i="32" s="1"/>
  <c r="J25" i="32"/>
  <c r="H26" i="32" s="1"/>
  <c r="E25" i="32"/>
  <c r="C26" i="32" s="1"/>
  <c r="C24" i="32"/>
  <c r="Y23" i="32"/>
  <c r="X24" i="32" s="1"/>
  <c r="T23" i="32"/>
  <c r="S24" i="32" s="1"/>
  <c r="O23" i="32"/>
  <c r="N24" i="32" s="1"/>
  <c r="J23" i="32"/>
  <c r="H24" i="32" s="1"/>
  <c r="E23" i="32"/>
  <c r="D24" i="32" s="1"/>
  <c r="Y21" i="32"/>
  <c r="W22" i="32" s="1"/>
  <c r="T21" i="32"/>
  <c r="R22" i="32" s="1"/>
  <c r="O21" i="32"/>
  <c r="N22" i="32" s="1"/>
  <c r="J21" i="32"/>
  <c r="I22" i="32" s="1"/>
  <c r="E21" i="32"/>
  <c r="D22" i="32" s="1"/>
  <c r="Y16" i="32"/>
  <c r="W17" i="32" s="1"/>
  <c r="T16" i="32"/>
  <c r="S17" i="32" s="1"/>
  <c r="O16" i="32"/>
  <c r="N17" i="32" s="1"/>
  <c r="J16" i="32"/>
  <c r="I17" i="32" s="1"/>
  <c r="E16" i="32"/>
  <c r="D17" i="32" s="1"/>
  <c r="Y14" i="32"/>
  <c r="W15" i="32" s="1"/>
  <c r="T14" i="32"/>
  <c r="R15" i="32" s="1"/>
  <c r="O14" i="32"/>
  <c r="M15" i="32" s="1"/>
  <c r="J14" i="32"/>
  <c r="I15" i="32" s="1"/>
  <c r="E14" i="32"/>
  <c r="D15" i="32" s="1"/>
  <c r="Y12" i="32"/>
  <c r="X13" i="32" s="1"/>
  <c r="T12" i="32"/>
  <c r="S13" i="32" s="1"/>
  <c r="O12" i="32"/>
  <c r="N13" i="32" s="1"/>
  <c r="J12" i="32"/>
  <c r="I13" i="32" s="1"/>
  <c r="E12" i="32"/>
  <c r="D13" i="32" s="1"/>
  <c r="Y7" i="32"/>
  <c r="W8" i="32" s="1"/>
  <c r="T7" i="32"/>
  <c r="R8" i="32" s="1"/>
  <c r="O7" i="32"/>
  <c r="M8" i="32" s="1"/>
  <c r="J7" i="32"/>
  <c r="H8" i="32" s="1"/>
  <c r="E7" i="32"/>
  <c r="D8" i="32" s="1"/>
  <c r="C6" i="32"/>
  <c r="Y5" i="32"/>
  <c r="X6" i="32" s="1"/>
  <c r="T5" i="32"/>
  <c r="S6" i="32" s="1"/>
  <c r="O5" i="32"/>
  <c r="N6" i="32" s="1"/>
  <c r="J5" i="32"/>
  <c r="I6" i="32" s="1"/>
  <c r="E5" i="32"/>
  <c r="D6" i="32" s="1"/>
  <c r="Y3" i="32"/>
  <c r="W4" i="32" s="1"/>
  <c r="T3" i="32"/>
  <c r="R4" i="32" s="1"/>
  <c r="O3" i="32"/>
  <c r="N4" i="32" s="1"/>
  <c r="J3" i="32"/>
  <c r="H4" i="32" s="1"/>
  <c r="E3" i="32"/>
  <c r="C4" i="32" s="1"/>
  <c r="M13" i="32" l="1"/>
  <c r="I24" i="32"/>
  <c r="S26" i="32"/>
  <c r="O32" i="32"/>
  <c r="X22" i="32"/>
  <c r="W24" i="32"/>
  <c r="I8" i="32"/>
  <c r="I4" i="32"/>
  <c r="I31" i="32" s="1"/>
  <c r="X8" i="32"/>
  <c r="T32" i="32"/>
  <c r="S4" i="32"/>
  <c r="S31" i="32" s="1"/>
  <c r="W6" i="32"/>
  <c r="X17" i="32"/>
  <c r="O34" i="32"/>
  <c r="J30" i="32"/>
  <c r="Y32" i="32"/>
  <c r="D26" i="17"/>
  <c r="D18" i="17"/>
  <c r="D10" i="17"/>
  <c r="W9" i="17"/>
  <c r="W10" i="17" s="1"/>
  <c r="C10" i="17"/>
  <c r="J4" i="17"/>
  <c r="O15" i="17"/>
  <c r="N37" i="17"/>
  <c r="O10" i="17"/>
  <c r="H26" i="17"/>
  <c r="P10" i="17"/>
  <c r="B21" i="17"/>
  <c r="I26" i="17"/>
  <c r="P37" i="17"/>
  <c r="H32" i="17"/>
  <c r="T10" i="17"/>
  <c r="D7" i="17"/>
  <c r="D4" i="17"/>
  <c r="J7" i="17"/>
  <c r="N21" i="17"/>
  <c r="J32" i="17"/>
  <c r="D21" i="17"/>
  <c r="O21" i="17"/>
  <c r="N4" i="17"/>
  <c r="I15" i="17"/>
  <c r="N29" i="17"/>
  <c r="I40" i="17"/>
  <c r="O4" i="17"/>
  <c r="J15" i="17"/>
  <c r="O29" i="17"/>
  <c r="J40" i="17"/>
  <c r="B7" i="17"/>
  <c r="N15" i="17"/>
  <c r="B32" i="17"/>
  <c r="N40" i="17"/>
  <c r="W39" i="17" s="1"/>
  <c r="W40" i="17" s="1"/>
  <c r="C37" i="17"/>
  <c r="B4" i="17"/>
  <c r="H18" i="17"/>
  <c r="B29" i="17"/>
  <c r="T29" i="17" s="1"/>
  <c r="D37" i="17"/>
  <c r="H43" i="17"/>
  <c r="C29" i="17"/>
  <c r="C15" i="17"/>
  <c r="Q25" i="17"/>
  <c r="P26" i="17" s="1"/>
  <c r="H37" i="17"/>
  <c r="J43" i="17"/>
  <c r="N7" i="17"/>
  <c r="I10" i="17"/>
  <c r="H21" i="17"/>
  <c r="N32" i="17"/>
  <c r="I37" i="17"/>
  <c r="D40" i="17"/>
  <c r="J18" i="17"/>
  <c r="H4" i="17"/>
  <c r="O7" i="17"/>
  <c r="J10" i="17"/>
  <c r="B18" i="17"/>
  <c r="N18" i="17"/>
  <c r="I21" i="17"/>
  <c r="T25" i="17"/>
  <c r="H29" i="17"/>
  <c r="C32" i="17"/>
  <c r="O32" i="17"/>
  <c r="B43" i="17"/>
  <c r="T43" i="17" s="1"/>
  <c r="N43" i="17"/>
  <c r="O18" i="17"/>
  <c r="B26" i="17"/>
  <c r="I29" i="17"/>
  <c r="C43" i="17"/>
  <c r="O43" i="17"/>
  <c r="H22" i="32"/>
  <c r="N8" i="32"/>
  <c r="N35" i="32" s="1"/>
  <c r="S22" i="32"/>
  <c r="I26" i="32"/>
  <c r="E32" i="32"/>
  <c r="O30" i="32"/>
  <c r="J32" i="32"/>
  <c r="X26" i="32"/>
  <c r="X41" i="32" s="1"/>
  <c r="X42" i="32" s="1"/>
  <c r="M4" i="32"/>
  <c r="C17" i="32"/>
  <c r="T30" i="32"/>
  <c r="E34" i="32"/>
  <c r="M6" i="32"/>
  <c r="C15" i="32"/>
  <c r="C33" i="32" s="1"/>
  <c r="C22" i="32"/>
  <c r="E30" i="32"/>
  <c r="X4" i="32"/>
  <c r="S15" i="32"/>
  <c r="S33" i="32" s="1"/>
  <c r="Y30" i="32"/>
  <c r="D33" i="32"/>
  <c r="I39" i="32"/>
  <c r="I40" i="32" s="1"/>
  <c r="I33" i="32"/>
  <c r="W37" i="32"/>
  <c r="W38" i="32" s="1"/>
  <c r="W31" i="32"/>
  <c r="D39" i="32"/>
  <c r="D40" i="32" s="1"/>
  <c r="W41" i="32"/>
  <c r="W42" i="32" s="1"/>
  <c r="W35" i="32"/>
  <c r="N31" i="32"/>
  <c r="N37" i="32"/>
  <c r="N38" i="32" s="1"/>
  <c r="D4" i="32"/>
  <c r="H6" i="32"/>
  <c r="N15" i="32"/>
  <c r="N33" i="32" s="1"/>
  <c r="R17" i="32"/>
  <c r="R41" i="32" s="1"/>
  <c r="R42" i="32" s="1"/>
  <c r="D26" i="32"/>
  <c r="D41" i="32" s="1"/>
  <c r="D42" i="32" s="1"/>
  <c r="W39" i="32"/>
  <c r="W40" i="32" s="1"/>
  <c r="X31" i="32"/>
  <c r="N41" i="32"/>
  <c r="N42" i="32" s="1"/>
  <c r="R6" i="32"/>
  <c r="S8" i="32"/>
  <c r="C13" i="32"/>
  <c r="W13" i="32"/>
  <c r="X15" i="32"/>
  <c r="X33" i="32" s="1"/>
  <c r="H17" i="32"/>
  <c r="H35" i="32" s="1"/>
  <c r="M24" i="32"/>
  <c r="M33" i="32" s="1"/>
  <c r="R13" i="32"/>
  <c r="R37" i="32" s="1"/>
  <c r="R38" i="32" s="1"/>
  <c r="S37" i="32"/>
  <c r="S38" i="32" s="1"/>
  <c r="C8" i="32"/>
  <c r="H15" i="32"/>
  <c r="M22" i="32"/>
  <c r="I35" i="32"/>
  <c r="N39" i="32"/>
  <c r="N40" i="32" s="1"/>
  <c r="H13" i="32"/>
  <c r="H37" i="32" s="1"/>
  <c r="H38" i="32" s="1"/>
  <c r="M17" i="32"/>
  <c r="M35" i="32" s="1"/>
  <c r="R24" i="32"/>
  <c r="H31" i="32" l="1"/>
  <c r="C39" i="32"/>
  <c r="C40" i="32" s="1"/>
  <c r="M39" i="32"/>
  <c r="M40" i="32" s="1"/>
  <c r="M37" i="32"/>
  <c r="M38" i="32" s="1"/>
  <c r="C37" i="32"/>
  <c r="C38" i="32" s="1"/>
  <c r="W33" i="32"/>
  <c r="I37" i="32"/>
  <c r="I38" i="32" s="1"/>
  <c r="I41" i="32"/>
  <c r="I42" i="32" s="1"/>
  <c r="X37" i="32"/>
  <c r="X38" i="32" s="1"/>
  <c r="T37" i="17"/>
  <c r="T21" i="17"/>
  <c r="T4" i="17"/>
  <c r="T18" i="17"/>
  <c r="W20" i="17"/>
  <c r="W21" i="17" s="1"/>
  <c r="W14" i="17"/>
  <c r="W15" i="17" s="1"/>
  <c r="T15" i="17"/>
  <c r="T40" i="17"/>
  <c r="T32" i="17"/>
  <c r="W36" i="17"/>
  <c r="W37" i="17" s="1"/>
  <c r="T7" i="17"/>
  <c r="W3" i="17"/>
  <c r="W4" i="17" s="1"/>
  <c r="W6" i="17"/>
  <c r="W7" i="17" s="1"/>
  <c r="N26" i="17"/>
  <c r="W25" i="17" s="1"/>
  <c r="W26" i="17" s="1"/>
  <c r="O26" i="17"/>
  <c r="W31" i="17"/>
  <c r="W32" i="17" s="1"/>
  <c r="W42" i="17"/>
  <c r="W43" i="17" s="1"/>
  <c r="W28" i="17"/>
  <c r="W29" i="17" s="1"/>
  <c r="W17" i="17"/>
  <c r="W18" i="17" s="1"/>
  <c r="C31" i="32"/>
  <c r="S39" i="32"/>
  <c r="S40" i="32" s="1"/>
  <c r="R35" i="32"/>
  <c r="X35" i="32"/>
  <c r="R31" i="32"/>
  <c r="H33" i="32"/>
  <c r="H39" i="32"/>
  <c r="H40" i="32" s="1"/>
  <c r="M31" i="32"/>
  <c r="H41" i="32"/>
  <c r="H42" i="32" s="1"/>
  <c r="S41" i="32"/>
  <c r="S42" i="32" s="1"/>
  <c r="S35" i="32"/>
  <c r="M41" i="32"/>
  <c r="M42" i="32" s="1"/>
  <c r="D35" i="32"/>
  <c r="X39" i="32"/>
  <c r="X40" i="32" s="1"/>
  <c r="D37" i="32"/>
  <c r="D38" i="32" s="1"/>
  <c r="D31" i="32"/>
  <c r="C35" i="32"/>
  <c r="C41" i="32"/>
  <c r="C42" i="32" s="1"/>
  <c r="R33" i="32"/>
  <c r="R39" i="32"/>
  <c r="R40" i="32" s="1"/>
  <c r="T26" i="17" l="1"/>
  <c r="N37" i="29"/>
  <c r="L38" i="29" s="1"/>
  <c r="I37" i="29"/>
  <c r="H38" i="29" s="1"/>
  <c r="D37" i="29"/>
  <c r="C38" i="29" s="1"/>
  <c r="R33" i="29"/>
  <c r="Q33" i="29"/>
  <c r="N33" i="29"/>
  <c r="M34" i="29" s="1"/>
  <c r="G33" i="29"/>
  <c r="Q7" i="29" s="1"/>
  <c r="D33" i="29"/>
  <c r="C34" i="29" s="1"/>
  <c r="N29" i="29"/>
  <c r="L30" i="29" s="1"/>
  <c r="H29" i="29"/>
  <c r="G29" i="29"/>
  <c r="D29" i="29"/>
  <c r="C30" i="29" s="1"/>
  <c r="R24" i="29"/>
  <c r="Q24" i="29"/>
  <c r="N24" i="29"/>
  <c r="L25" i="29" s="1"/>
  <c r="H24" i="29"/>
  <c r="G24" i="29"/>
  <c r="Q11" i="29" s="1"/>
  <c r="C24" i="29"/>
  <c r="R37" i="29" s="1"/>
  <c r="B24" i="29"/>
  <c r="Q37" i="29" s="1"/>
  <c r="R20" i="29"/>
  <c r="Q20" i="29"/>
  <c r="N20" i="29"/>
  <c r="M21" i="29" s="1"/>
  <c r="I20" i="29"/>
  <c r="H21" i="29" s="1"/>
  <c r="D20" i="29"/>
  <c r="B21" i="29" s="1"/>
  <c r="R16" i="29"/>
  <c r="Q16" i="29"/>
  <c r="N16" i="29"/>
  <c r="L17" i="29" s="1"/>
  <c r="H16" i="29"/>
  <c r="G16" i="29"/>
  <c r="D16" i="29"/>
  <c r="C17" i="29" s="1"/>
  <c r="N11" i="29"/>
  <c r="L12" i="29" s="1"/>
  <c r="I11" i="29"/>
  <c r="H12" i="29" s="1"/>
  <c r="D11" i="29"/>
  <c r="C12" i="29" s="1"/>
  <c r="R7" i="29"/>
  <c r="N7" i="29"/>
  <c r="M8" i="29" s="1"/>
  <c r="I7" i="29"/>
  <c r="G8" i="29" s="1"/>
  <c r="D7" i="29"/>
  <c r="C8" i="29" s="1"/>
  <c r="Q3" i="29"/>
  <c r="N3" i="29"/>
  <c r="M4" i="29" s="1"/>
  <c r="I3" i="29"/>
  <c r="H4" i="29" s="1"/>
  <c r="C3" i="29"/>
  <c r="B3" i="29"/>
  <c r="S24" i="29" l="1"/>
  <c r="R25" i="29" s="1"/>
  <c r="R3" i="29"/>
  <c r="S20" i="29"/>
  <c r="R21" i="29" s="1"/>
  <c r="S37" i="29"/>
  <c r="R38" i="29" s="1"/>
  <c r="G21" i="29"/>
  <c r="S7" i="29"/>
  <c r="C21" i="29"/>
  <c r="M25" i="29"/>
  <c r="G12" i="29"/>
  <c r="M17" i="29"/>
  <c r="M12" i="29"/>
  <c r="B8" i="29"/>
  <c r="I24" i="29"/>
  <c r="G25" i="29" s="1"/>
  <c r="S16" i="29"/>
  <c r="Q17" i="29" s="1"/>
  <c r="M30" i="29"/>
  <c r="I33" i="29"/>
  <c r="H34" i="29" s="1"/>
  <c r="G4" i="29"/>
  <c r="B38" i="29"/>
  <c r="G38" i="29"/>
  <c r="D3" i="29"/>
  <c r="C4" i="29" s="1"/>
  <c r="Q29" i="29"/>
  <c r="B34" i="29"/>
  <c r="M38" i="29"/>
  <c r="R8" i="29"/>
  <c r="R11" i="29"/>
  <c r="S11" i="29" s="1"/>
  <c r="Q12" i="29" s="1"/>
  <c r="Q25" i="29"/>
  <c r="R29" i="29"/>
  <c r="S33" i="29"/>
  <c r="Q34" i="29" s="1"/>
  <c r="H8" i="29"/>
  <c r="L8" i="29"/>
  <c r="L4" i="29"/>
  <c r="Q8" i="29"/>
  <c r="B12" i="29"/>
  <c r="B17" i="29"/>
  <c r="D24" i="29"/>
  <c r="C25" i="29" s="1"/>
  <c r="B30" i="29"/>
  <c r="L21" i="29"/>
  <c r="S3" i="29"/>
  <c r="Q4" i="29" s="1"/>
  <c r="I29" i="29"/>
  <c r="G30" i="29" s="1"/>
  <c r="L34" i="29"/>
  <c r="I16" i="29"/>
  <c r="G17" i="29" s="1"/>
  <c r="Q21" i="29" l="1"/>
  <c r="Q38" i="29"/>
  <c r="H25" i="29"/>
  <c r="R17" i="29"/>
  <c r="B4" i="29"/>
  <c r="H17" i="29"/>
  <c r="B25" i="29"/>
  <c r="R34" i="29"/>
  <c r="G34" i="29"/>
  <c r="H30" i="29"/>
  <c r="R12" i="29"/>
  <c r="S29" i="29"/>
  <c r="Q30" i="29" s="1"/>
  <c r="R4" i="29"/>
  <c r="R30" i="29" l="1"/>
  <c r="E43" i="27" l="1"/>
  <c r="E49" i="27"/>
  <c r="E55" i="27"/>
  <c r="J54" i="27"/>
  <c r="I54" i="27"/>
  <c r="H54" i="27"/>
  <c r="J48" i="27"/>
  <c r="I48" i="27"/>
  <c r="H48" i="27"/>
  <c r="J42" i="27"/>
  <c r="I42" i="27"/>
  <c r="H42" i="27"/>
  <c r="K37" i="27"/>
  <c r="J38" i="27" s="1"/>
  <c r="K33" i="27"/>
  <c r="I34" i="27" s="1"/>
  <c r="K29" i="27"/>
  <c r="J30" i="27" s="1"/>
  <c r="K24" i="27"/>
  <c r="H25" i="27" s="1"/>
  <c r="K20" i="27"/>
  <c r="I21" i="27" s="1"/>
  <c r="K16" i="27"/>
  <c r="J17" i="27" s="1"/>
  <c r="K11" i="27"/>
  <c r="J12" i="27" s="1"/>
  <c r="K7" i="27"/>
  <c r="H8" i="27" s="1"/>
  <c r="I4" i="27"/>
  <c r="H4" i="27"/>
  <c r="K3" i="27"/>
  <c r="J4" i="27" s="1"/>
  <c r="D54" i="27"/>
  <c r="C54" i="27"/>
  <c r="B54" i="27"/>
  <c r="D48" i="27"/>
  <c r="C48" i="27"/>
  <c r="B48" i="27"/>
  <c r="D42" i="27"/>
  <c r="C42" i="27"/>
  <c r="B42" i="27"/>
  <c r="E37" i="27"/>
  <c r="D38" i="27" s="1"/>
  <c r="E33" i="27"/>
  <c r="D34" i="27" s="1"/>
  <c r="E29" i="27"/>
  <c r="D30" i="27" s="1"/>
  <c r="E24" i="27"/>
  <c r="B25" i="27" s="1"/>
  <c r="E20" i="27"/>
  <c r="C21" i="27" s="1"/>
  <c r="E16" i="27"/>
  <c r="B17" i="27" s="1"/>
  <c r="E11" i="27"/>
  <c r="D12" i="27" s="1"/>
  <c r="E7" i="27"/>
  <c r="B8" i="27" s="1"/>
  <c r="E3" i="27"/>
  <c r="D4" i="27" s="1"/>
  <c r="J44" i="27" l="1"/>
  <c r="J45" i="27" s="1"/>
  <c r="C25" i="27"/>
  <c r="K43" i="27"/>
  <c r="J43" i="27" s="1"/>
  <c r="B4" i="27"/>
  <c r="J21" i="27"/>
  <c r="C43" i="27"/>
  <c r="B21" i="27"/>
  <c r="C4" i="27"/>
  <c r="D21" i="27"/>
  <c r="C38" i="27"/>
  <c r="I25" i="27"/>
  <c r="H38" i="27"/>
  <c r="B38" i="27"/>
  <c r="B55" i="27"/>
  <c r="J25" i="27"/>
  <c r="J56" i="27" s="1"/>
  <c r="J57" i="27" s="1"/>
  <c r="I38" i="27"/>
  <c r="D25" i="27"/>
  <c r="D56" i="27" s="1"/>
  <c r="D57" i="27" s="1"/>
  <c r="I8" i="27"/>
  <c r="H21" i="27"/>
  <c r="J8" i="27"/>
  <c r="D8" i="27"/>
  <c r="C8" i="27"/>
  <c r="K49" i="27"/>
  <c r="J49" i="27" s="1"/>
  <c r="K55" i="27"/>
  <c r="H55" i="27" s="1"/>
  <c r="H17" i="27"/>
  <c r="J34" i="27"/>
  <c r="I12" i="27"/>
  <c r="I30" i="27"/>
  <c r="H34" i="27"/>
  <c r="I17" i="27"/>
  <c r="H12" i="27"/>
  <c r="H30" i="27"/>
  <c r="B44" i="27"/>
  <c r="B45" i="27" s="1"/>
  <c r="C17" i="27"/>
  <c r="B12" i="27"/>
  <c r="D17" i="27"/>
  <c r="D44" i="27" s="1"/>
  <c r="D45" i="27" s="1"/>
  <c r="B30" i="27"/>
  <c r="B34" i="27"/>
  <c r="C34" i="27"/>
  <c r="D43" i="27"/>
  <c r="C12" i="27"/>
  <c r="C30" i="27"/>
  <c r="I43" i="27" l="1"/>
  <c r="H43" i="27"/>
  <c r="H44" i="27"/>
  <c r="H45" i="27" s="1"/>
  <c r="D55" i="27"/>
  <c r="C55" i="27"/>
  <c r="B50" i="27"/>
  <c r="B51" i="27" s="1"/>
  <c r="J50" i="27"/>
  <c r="J51" i="27" s="1"/>
  <c r="B43" i="27"/>
  <c r="I55" i="27"/>
  <c r="I50" i="27"/>
  <c r="I51" i="27" s="1"/>
  <c r="D50" i="27"/>
  <c r="D51" i="27" s="1"/>
  <c r="H56" i="27"/>
  <c r="H57" i="27" s="1"/>
  <c r="C44" i="27"/>
  <c r="C45" i="27" s="1"/>
  <c r="H50" i="27"/>
  <c r="H51" i="27" s="1"/>
  <c r="I56" i="27"/>
  <c r="I57" i="27" s="1"/>
  <c r="I44" i="27"/>
  <c r="I45" i="27" s="1"/>
  <c r="I49" i="27"/>
  <c r="H49" i="27"/>
  <c r="J55" i="27"/>
  <c r="B56" i="27"/>
  <c r="B57" i="27" s="1"/>
  <c r="C49" i="27"/>
  <c r="C50" i="27"/>
  <c r="C51" i="27" s="1"/>
  <c r="C56" i="27"/>
  <c r="C57" i="27" s="1"/>
  <c r="D49" i="27"/>
  <c r="B49" i="27"/>
  <c r="T86" i="26" l="1"/>
  <c r="T87" i="26" s="1"/>
  <c r="P86" i="26"/>
  <c r="O86" i="26"/>
  <c r="N86" i="26"/>
  <c r="P85" i="26"/>
  <c r="O85" i="26"/>
  <c r="N85" i="26"/>
  <c r="P81" i="26"/>
  <c r="O81" i="26"/>
  <c r="N81" i="26"/>
  <c r="P80" i="26"/>
  <c r="O80" i="26"/>
  <c r="N80" i="26"/>
  <c r="N76" i="26"/>
  <c r="P75" i="26"/>
  <c r="O75" i="26"/>
  <c r="N75" i="26"/>
  <c r="P74" i="26"/>
  <c r="O74" i="26"/>
  <c r="N74" i="26"/>
  <c r="P70" i="26"/>
  <c r="O70" i="26"/>
  <c r="N70" i="26"/>
  <c r="P69" i="26"/>
  <c r="O69" i="26"/>
  <c r="N69" i="26"/>
  <c r="P82" i="26" l="1"/>
  <c r="P71" i="26"/>
  <c r="T81" i="26"/>
  <c r="T82" i="26" s="1"/>
  <c r="T75" i="26"/>
  <c r="T76" i="26" s="1"/>
  <c r="O87" i="26"/>
  <c r="R75" i="26"/>
  <c r="R76" i="26" s="1"/>
  <c r="S81" i="26"/>
  <c r="S82" i="26" s="1"/>
  <c r="R70" i="26"/>
  <c r="R71" i="26" s="1"/>
  <c r="N82" i="26"/>
  <c r="N87" i="26"/>
  <c r="S70" i="26"/>
  <c r="S71" i="26" s="1"/>
  <c r="T70" i="26"/>
  <c r="T71" i="26" s="1"/>
  <c r="S75" i="26"/>
  <c r="S76" i="26" s="1"/>
  <c r="O82" i="26"/>
  <c r="R81" i="26"/>
  <c r="R82" i="26" s="1"/>
  <c r="S86" i="26"/>
  <c r="S87" i="26" s="1"/>
  <c r="P87" i="26"/>
  <c r="O76" i="26"/>
  <c r="P76" i="26"/>
  <c r="N71" i="26"/>
  <c r="O71" i="26"/>
  <c r="R86" i="26"/>
  <c r="R87" i="26" s="1"/>
  <c r="L54" i="26" l="1"/>
  <c r="K54" i="26"/>
  <c r="J54" i="26"/>
  <c r="H54" i="26"/>
  <c r="G54" i="26"/>
  <c r="F54" i="26"/>
  <c r="D54" i="26"/>
  <c r="C54" i="26"/>
  <c r="B54" i="26"/>
  <c r="P53" i="26"/>
  <c r="O53" i="26"/>
  <c r="N53" i="26"/>
  <c r="P52" i="26"/>
  <c r="O52" i="26"/>
  <c r="N52" i="26"/>
  <c r="L49" i="26"/>
  <c r="K49" i="26"/>
  <c r="J49" i="26"/>
  <c r="H49" i="26"/>
  <c r="G49" i="26"/>
  <c r="F49" i="26"/>
  <c r="D49" i="26"/>
  <c r="C49" i="26"/>
  <c r="B49" i="26"/>
  <c r="P48" i="26"/>
  <c r="O48" i="26"/>
  <c r="N48" i="26"/>
  <c r="P47" i="26"/>
  <c r="O47" i="26"/>
  <c r="N47" i="26"/>
  <c r="L43" i="26"/>
  <c r="K43" i="26"/>
  <c r="J43" i="26"/>
  <c r="H43" i="26"/>
  <c r="G43" i="26"/>
  <c r="F43" i="26"/>
  <c r="D43" i="26"/>
  <c r="C43" i="26"/>
  <c r="B43" i="26"/>
  <c r="P42" i="26"/>
  <c r="O42" i="26"/>
  <c r="N42" i="26"/>
  <c r="P41" i="26"/>
  <c r="O41" i="26"/>
  <c r="N41" i="26"/>
  <c r="L38" i="26"/>
  <c r="K38" i="26"/>
  <c r="J38" i="26"/>
  <c r="H38" i="26"/>
  <c r="G38" i="26"/>
  <c r="F38" i="26"/>
  <c r="D38" i="26"/>
  <c r="C38" i="26"/>
  <c r="B38" i="26"/>
  <c r="P37" i="26"/>
  <c r="O37" i="26"/>
  <c r="N37" i="26"/>
  <c r="P36" i="26"/>
  <c r="O36" i="26"/>
  <c r="N36" i="26"/>
  <c r="P49" i="26" l="1"/>
  <c r="P54" i="26"/>
  <c r="S53" i="26"/>
  <c r="S54" i="26" s="1"/>
  <c r="S42" i="26"/>
  <c r="S43" i="26" s="1"/>
  <c r="S48" i="26"/>
  <c r="S49" i="26" s="1"/>
  <c r="P38" i="26"/>
  <c r="S37" i="26"/>
  <c r="S38" i="26" s="1"/>
  <c r="P43" i="26"/>
  <c r="R53" i="26"/>
  <c r="R54" i="26" s="1"/>
  <c r="O38" i="26"/>
  <c r="R37" i="26"/>
  <c r="R38" i="26" s="1"/>
  <c r="O43" i="26"/>
  <c r="R42" i="26"/>
  <c r="R43" i="26" s="1"/>
  <c r="O49" i="26"/>
  <c r="R48" i="26"/>
  <c r="R49" i="26" s="1"/>
  <c r="O54" i="26"/>
  <c r="N38" i="26"/>
  <c r="T37" i="26"/>
  <c r="T38" i="26" s="1"/>
  <c r="N43" i="26"/>
  <c r="T42" i="26"/>
  <c r="T43" i="26" s="1"/>
  <c r="N49" i="26"/>
  <c r="T48" i="26"/>
  <c r="T49" i="26" s="1"/>
  <c r="N54" i="26"/>
  <c r="T53" i="26"/>
  <c r="T54" i="26" s="1"/>
  <c r="L24" i="26" l="1"/>
  <c r="K24" i="26"/>
  <c r="J24" i="26"/>
  <c r="H24" i="26"/>
  <c r="G24" i="26"/>
  <c r="F24" i="26"/>
  <c r="D24" i="26"/>
  <c r="C24" i="26"/>
  <c r="B24" i="26"/>
  <c r="L19" i="26"/>
  <c r="K19" i="26"/>
  <c r="J19" i="26"/>
  <c r="H19" i="26"/>
  <c r="G19" i="26"/>
  <c r="F19" i="26"/>
  <c r="D19" i="26"/>
  <c r="C19" i="26"/>
  <c r="B19" i="26"/>
  <c r="K8" i="26"/>
  <c r="L8" i="26"/>
  <c r="K13" i="26"/>
  <c r="L13" i="26"/>
  <c r="F13" i="26"/>
  <c r="D13" i="26"/>
  <c r="C13" i="26"/>
  <c r="B13" i="26"/>
  <c r="H13" i="26"/>
  <c r="G13" i="26"/>
  <c r="J13" i="26"/>
  <c r="P12" i="26"/>
  <c r="O12" i="26"/>
  <c r="N12" i="26"/>
  <c r="P11" i="26"/>
  <c r="O11" i="26"/>
  <c r="N11" i="26"/>
  <c r="F8" i="26"/>
  <c r="D8" i="26"/>
  <c r="C8" i="26"/>
  <c r="B8" i="26"/>
  <c r="H8" i="26"/>
  <c r="G8" i="26"/>
  <c r="J8" i="26"/>
  <c r="P7" i="26"/>
  <c r="O7" i="26"/>
  <c r="N7" i="26"/>
  <c r="P6" i="26"/>
  <c r="O6" i="26"/>
  <c r="N6" i="26"/>
  <c r="S6" i="26" l="1"/>
  <c r="S7" i="26" s="1"/>
  <c r="P8" i="26"/>
  <c r="R12" i="26"/>
  <c r="R13" i="26" s="1"/>
  <c r="O8" i="26"/>
  <c r="S12" i="26"/>
  <c r="S13" i="26" s="1"/>
  <c r="T12" i="26"/>
  <c r="T13" i="26" s="1"/>
  <c r="N8" i="26"/>
  <c r="R6" i="26"/>
  <c r="R7" i="26" s="1"/>
  <c r="N13" i="26"/>
  <c r="O13" i="26"/>
  <c r="T6" i="26"/>
  <c r="T7" i="26" s="1"/>
  <c r="P13" i="26"/>
  <c r="AH21" i="25" l="1"/>
  <c r="AG21" i="25"/>
  <c r="AF21" i="25"/>
  <c r="AD21" i="25"/>
  <c r="Z21" i="25"/>
  <c r="Y21" i="25"/>
  <c r="X21" i="25"/>
  <c r="AL20" i="25"/>
  <c r="AC20" i="25"/>
  <c r="AC21" i="25" s="1"/>
  <c r="AB20" i="25"/>
  <c r="AJ20" i="25" s="1"/>
  <c r="AL19" i="25"/>
  <c r="AK19" i="25"/>
  <c r="AJ19" i="25"/>
  <c r="AH16" i="25"/>
  <c r="AG16" i="25"/>
  <c r="AF16" i="25"/>
  <c r="AD16" i="25"/>
  <c r="AC16" i="25"/>
  <c r="AB16" i="25"/>
  <c r="Z16" i="25"/>
  <c r="Y16" i="25"/>
  <c r="X16" i="25"/>
  <c r="AL15" i="25"/>
  <c r="AK15" i="25"/>
  <c r="AJ15" i="25"/>
  <c r="AL14" i="25"/>
  <c r="AK14" i="25"/>
  <c r="AJ14" i="25"/>
  <c r="AJ16" i="25" s="1"/>
  <c r="AH11" i="25"/>
  <c r="AG11" i="25"/>
  <c r="AF11" i="25"/>
  <c r="AC11" i="25"/>
  <c r="Z11" i="25"/>
  <c r="Y11" i="25"/>
  <c r="X11" i="25"/>
  <c r="AD10" i="25"/>
  <c r="AD11" i="25" s="1"/>
  <c r="AC10" i="25"/>
  <c r="AK10" i="25" s="1"/>
  <c r="AB10" i="25"/>
  <c r="AB11" i="25" s="1"/>
  <c r="AL9" i="25"/>
  <c r="AK9" i="25"/>
  <c r="AJ9" i="25"/>
  <c r="AH6" i="25"/>
  <c r="AG6" i="25"/>
  <c r="AF6" i="25"/>
  <c r="AD6" i="25"/>
  <c r="AC6" i="25"/>
  <c r="AB6" i="25"/>
  <c r="Z6" i="25"/>
  <c r="Y6" i="25"/>
  <c r="X6" i="25"/>
  <c r="AL5" i="25"/>
  <c r="AK5" i="25"/>
  <c r="AJ5" i="25"/>
  <c r="AL4" i="25"/>
  <c r="AK4" i="25"/>
  <c r="AJ4" i="25"/>
  <c r="AN5" i="25" l="1"/>
  <c r="AN6" i="25" s="1"/>
  <c r="AO20" i="25"/>
  <c r="AO21" i="25" s="1"/>
  <c r="AP20" i="25"/>
  <c r="AP21" i="25" s="1"/>
  <c r="AK16" i="25"/>
  <c r="AN15" i="25"/>
  <c r="AN16" i="25" s="1"/>
  <c r="AP5" i="25"/>
  <c r="AP6" i="25" s="1"/>
  <c r="AL16" i="25"/>
  <c r="AP10" i="25"/>
  <c r="AP11" i="25" s="1"/>
  <c r="AO5" i="25"/>
  <c r="AO6" i="25" s="1"/>
  <c r="AJ6" i="25"/>
  <c r="AO15" i="25"/>
  <c r="AO16" i="25" s="1"/>
  <c r="AK6" i="25"/>
  <c r="AO10" i="25"/>
  <c r="AO11" i="25" s="1"/>
  <c r="AP15" i="25"/>
  <c r="AP16" i="25" s="1"/>
  <c r="AN10" i="25"/>
  <c r="AN11" i="25" s="1"/>
  <c r="AL6" i="25"/>
  <c r="AK11" i="25"/>
  <c r="AL21" i="25"/>
  <c r="AJ10" i="25"/>
  <c r="AJ11" i="25" s="1"/>
  <c r="AJ21" i="25"/>
  <c r="AL10" i="25"/>
  <c r="AL11" i="25" s="1"/>
  <c r="AK20" i="25"/>
  <c r="AK21" i="25" s="1"/>
  <c r="AB21" i="25"/>
  <c r="AN20" i="25" s="1"/>
  <c r="AN21" i="25" s="1"/>
  <c r="H21" i="25" l="1"/>
  <c r="F21" i="25"/>
  <c r="C21" i="25"/>
  <c r="L20" i="25"/>
  <c r="L21" i="25" s="1"/>
  <c r="K20" i="25"/>
  <c r="K21" i="25" s="1"/>
  <c r="J20" i="25"/>
  <c r="J21" i="25" s="1"/>
  <c r="G20" i="25"/>
  <c r="D20" i="25"/>
  <c r="D21" i="25" s="1"/>
  <c r="B20" i="25"/>
  <c r="B21" i="25" s="1"/>
  <c r="P19" i="25"/>
  <c r="O19" i="25"/>
  <c r="N19" i="25"/>
  <c r="L16" i="25"/>
  <c r="K16" i="25"/>
  <c r="J16" i="25"/>
  <c r="H16" i="25"/>
  <c r="G16" i="25"/>
  <c r="F16" i="25"/>
  <c r="D16" i="25"/>
  <c r="C16" i="25"/>
  <c r="B16" i="25"/>
  <c r="P15" i="25"/>
  <c r="O15" i="25"/>
  <c r="N15" i="25"/>
  <c r="P14" i="25"/>
  <c r="O14" i="25"/>
  <c r="N14" i="25"/>
  <c r="F11" i="25"/>
  <c r="L10" i="25"/>
  <c r="L11" i="25" s="1"/>
  <c r="K10" i="25"/>
  <c r="K11" i="25" s="1"/>
  <c r="J10" i="25"/>
  <c r="J11" i="25" s="1"/>
  <c r="H10" i="25"/>
  <c r="H11" i="25" s="1"/>
  <c r="G10" i="25"/>
  <c r="G11" i="25" s="1"/>
  <c r="D10" i="25"/>
  <c r="C10" i="25"/>
  <c r="C11" i="25" s="1"/>
  <c r="B10" i="25"/>
  <c r="P9" i="25"/>
  <c r="O9" i="25"/>
  <c r="N9" i="25"/>
  <c r="L6" i="25"/>
  <c r="K6" i="25"/>
  <c r="J6" i="25"/>
  <c r="H6" i="25"/>
  <c r="G6" i="25"/>
  <c r="F6" i="25"/>
  <c r="D6" i="25"/>
  <c r="C6" i="25"/>
  <c r="B6" i="25"/>
  <c r="P5" i="25"/>
  <c r="O5" i="25"/>
  <c r="N5" i="25"/>
  <c r="P4" i="25"/>
  <c r="O4" i="25"/>
  <c r="N4" i="25"/>
  <c r="S10" i="25" l="1"/>
  <c r="S11" i="25" s="1"/>
  <c r="N16" i="25"/>
  <c r="P10" i="25"/>
  <c r="P20" i="25"/>
  <c r="N6" i="25"/>
  <c r="O20" i="25"/>
  <c r="N10" i="25"/>
  <c r="O10" i="25"/>
  <c r="D11" i="25"/>
  <c r="T10" i="25" s="1"/>
  <c r="T11" i="25" s="1"/>
  <c r="G21" i="25"/>
  <c r="S20" i="25" s="1"/>
  <c r="S21" i="25" s="1"/>
  <c r="S5" i="25"/>
  <c r="S6" i="25" s="1"/>
  <c r="S15" i="25"/>
  <c r="S16" i="25" s="1"/>
  <c r="T5" i="25"/>
  <c r="T6" i="25" s="1"/>
  <c r="T15" i="25"/>
  <c r="T16" i="25" s="1"/>
  <c r="R5" i="25"/>
  <c r="R6" i="25" s="1"/>
  <c r="R15" i="25"/>
  <c r="R16" i="25" s="1"/>
  <c r="N21" i="25"/>
  <c r="R20" i="25"/>
  <c r="R21" i="25" s="1"/>
  <c r="T20" i="25"/>
  <c r="T21" i="25" s="1"/>
  <c r="P21" i="25"/>
  <c r="O11" i="25"/>
  <c r="B11" i="25"/>
  <c r="N20" i="25"/>
  <c r="O16" i="25"/>
  <c r="P6" i="25"/>
  <c r="P16" i="25"/>
  <c r="O6" i="25"/>
  <c r="O21" i="25" l="1"/>
  <c r="P11" i="25"/>
  <c r="N11" i="25"/>
  <c r="R10" i="25"/>
  <c r="R11" i="25" s="1"/>
  <c r="C15" i="5" l="1"/>
  <c r="B15" i="5"/>
  <c r="C13" i="5"/>
  <c r="B13" i="5"/>
  <c r="C11" i="5"/>
  <c r="B11" i="5"/>
  <c r="H7" i="5"/>
  <c r="G7" i="5"/>
  <c r="C7" i="5"/>
  <c r="B7" i="5"/>
  <c r="N6" i="5"/>
  <c r="M7" i="5" s="1"/>
  <c r="C5" i="5"/>
  <c r="B5" i="5"/>
  <c r="N4" i="5"/>
  <c r="L5" i="5" s="1"/>
  <c r="I4" i="5"/>
  <c r="H5" i="5" s="1"/>
  <c r="H3" i="5"/>
  <c r="G3" i="5"/>
  <c r="C3" i="5"/>
  <c r="B3" i="5"/>
  <c r="N2" i="5"/>
  <c r="L3" i="5" s="1"/>
  <c r="B12" i="5" s="1"/>
  <c r="M5" i="5" l="1"/>
  <c r="C14" i="5" s="1"/>
  <c r="M3" i="5"/>
  <c r="C12" i="5" s="1"/>
  <c r="D12" i="5"/>
  <c r="E12" i="5" s="1"/>
  <c r="C16" i="5"/>
  <c r="G5" i="5"/>
  <c r="L7" i="5"/>
  <c r="D16" i="5" s="1"/>
  <c r="E16" i="5" s="1"/>
  <c r="D14" i="5" l="1"/>
  <c r="E14" i="5" s="1"/>
  <c r="B14" i="5"/>
  <c r="B16" i="5"/>
  <c r="H19" i="23" l="1"/>
  <c r="G13" i="23"/>
  <c r="H13" i="23"/>
  <c r="C13" i="23"/>
  <c r="B13" i="23"/>
  <c r="N7" i="23"/>
  <c r="M8" i="23" s="1"/>
  <c r="N3" i="23"/>
  <c r="M4" i="23" s="1"/>
  <c r="I7" i="23"/>
  <c r="H8" i="23" s="1"/>
  <c r="I3" i="23"/>
  <c r="H4" i="23" s="1"/>
  <c r="D7" i="23"/>
  <c r="C8" i="23" s="1"/>
  <c r="D3" i="23"/>
  <c r="C4" i="23" s="1"/>
  <c r="D13" i="23" l="1"/>
  <c r="I13" i="23"/>
  <c r="L8" i="23"/>
  <c r="L4" i="23"/>
  <c r="C14" i="23"/>
  <c r="C15" i="23" s="1"/>
  <c r="C16" i="23" s="1"/>
  <c r="H14" i="23"/>
  <c r="H15" i="23" s="1"/>
  <c r="H16" i="23" s="1"/>
  <c r="G4" i="23"/>
  <c r="B4" i="23"/>
  <c r="B8" i="23"/>
  <c r="G8" i="23"/>
  <c r="H20" i="22"/>
  <c r="H13" i="22"/>
  <c r="G13" i="22"/>
  <c r="C13" i="22"/>
  <c r="B13" i="22"/>
  <c r="B14" i="22" s="1"/>
  <c r="B14" i="23" l="1"/>
  <c r="B15" i="23" s="1"/>
  <c r="B16" i="23" s="1"/>
  <c r="G14" i="23"/>
  <c r="G15" i="23" s="1"/>
  <c r="G16" i="23" s="1"/>
  <c r="H8" i="22"/>
  <c r="G8" i="22"/>
  <c r="C8" i="22"/>
  <c r="B8" i="22"/>
  <c r="N7" i="22"/>
  <c r="M8" i="22" s="1"/>
  <c r="H4" i="22"/>
  <c r="G4" i="22"/>
  <c r="C4" i="22"/>
  <c r="B4" i="22"/>
  <c r="N3" i="22"/>
  <c r="M4" i="22" s="1"/>
  <c r="L3" i="21"/>
  <c r="L4" i="21"/>
  <c r="Q3" i="21"/>
  <c r="Q4" i="21"/>
  <c r="Q8" i="21"/>
  <c r="Q9" i="21"/>
  <c r="D13" i="22" l="1"/>
  <c r="C14" i="22" s="1"/>
  <c r="L4" i="22"/>
  <c r="L8" i="22"/>
  <c r="I13" i="22"/>
  <c r="G14" i="22" s="1"/>
  <c r="C15" i="22"/>
  <c r="C16" i="22" s="1"/>
  <c r="J23" i="21"/>
  <c r="J24" i="21" s="1"/>
  <c r="J21" i="21"/>
  <c r="N14" i="21"/>
  <c r="J14" i="21"/>
  <c r="F14" i="21"/>
  <c r="H17" i="21" s="1"/>
  <c r="F17" i="21" s="1"/>
  <c r="B14" i="21"/>
  <c r="D17" i="21" s="1"/>
  <c r="N13" i="21"/>
  <c r="J13" i="21"/>
  <c r="B13" i="21"/>
  <c r="B15" i="22" l="1"/>
  <c r="B16" i="22" s="1"/>
  <c r="H14" i="22"/>
  <c r="H15" i="22" s="1"/>
  <c r="H16" i="22" s="1"/>
  <c r="G15" i="22"/>
  <c r="G16" i="22" s="1"/>
  <c r="L17" i="21"/>
  <c r="J17" i="21" s="1"/>
  <c r="S20" i="21" s="1"/>
  <c r="S12" i="21"/>
  <c r="Q12" i="21"/>
  <c r="B17" i="21"/>
  <c r="I23" i="21" s="1"/>
  <c r="I24" i="21" s="1"/>
  <c r="I21" i="21" l="1"/>
  <c r="K15" i="15"/>
  <c r="J15" i="15"/>
  <c r="G15" i="15"/>
  <c r="F15" i="15"/>
  <c r="C15" i="15"/>
  <c r="O16" i="15" s="1"/>
  <c r="B15" i="15"/>
  <c r="N16" i="15" s="1"/>
  <c r="H9" i="15"/>
  <c r="G10" i="15" s="1"/>
  <c r="H4" i="15"/>
  <c r="F5" i="15" s="1"/>
  <c r="L9" i="15"/>
  <c r="K10" i="15" s="1"/>
  <c r="L4" i="15"/>
  <c r="K5" i="15" s="1"/>
  <c r="D9" i="15"/>
  <c r="C10" i="15" s="1"/>
  <c r="O10" i="15" s="1"/>
  <c r="D4" i="15"/>
  <c r="C5" i="15" s="1"/>
  <c r="J10" i="15" l="1"/>
  <c r="J5" i="15"/>
  <c r="F10" i="15"/>
  <c r="G5" i="15"/>
  <c r="O4" i="15" s="1"/>
  <c r="B10" i="15"/>
  <c r="N10" i="15" s="1"/>
  <c r="B5" i="15"/>
  <c r="N4" i="15" s="1"/>
  <c r="B21" i="2" l="1"/>
  <c r="A21" i="2"/>
  <c r="B16" i="2"/>
  <c r="A16" i="2"/>
  <c r="L9" i="2"/>
  <c r="J10" i="2" s="1"/>
  <c r="H9" i="2"/>
  <c r="G10" i="2" s="1"/>
  <c r="C9" i="2"/>
  <c r="A10" i="2" s="1"/>
  <c r="L4" i="2"/>
  <c r="J5" i="2" s="1"/>
  <c r="H4" i="2"/>
  <c r="G5" i="2" s="1"/>
  <c r="C4" i="2"/>
  <c r="A5" i="2" s="1"/>
  <c r="C21" i="2" l="1"/>
  <c r="A22" i="2" s="1"/>
  <c r="C16" i="2"/>
  <c r="B17" i="2" s="1"/>
  <c r="K10" i="2"/>
  <c r="K5" i="2"/>
  <c r="B5" i="2"/>
  <c r="B10" i="2"/>
  <c r="D22" i="2" s="1"/>
  <c r="E22" i="2" s="1"/>
  <c r="F10" i="2"/>
  <c r="D21" i="2" s="1"/>
  <c r="E21" i="2" s="1"/>
  <c r="B22" i="2"/>
  <c r="F5" i="2"/>
  <c r="D16" i="2" s="1"/>
  <c r="E16" i="2" s="1"/>
  <c r="A17" i="2"/>
  <c r="D17" i="2" l="1"/>
  <c r="E17" i="2" s="1"/>
  <c r="D9" i="14" l="1"/>
  <c r="C12" i="14"/>
  <c r="B12" i="14"/>
  <c r="D11" i="14"/>
  <c r="D10" i="14"/>
  <c r="C6" i="14"/>
  <c r="B6" i="14"/>
  <c r="D12" i="14" l="1"/>
  <c r="H6" i="14" s="1"/>
  <c r="M6" i="3" l="1"/>
  <c r="H6" i="3"/>
  <c r="I6" i="3" s="1"/>
  <c r="D6" i="3"/>
  <c r="M4" i="3"/>
  <c r="H4" i="3"/>
  <c r="G4" i="3"/>
  <c r="C4" i="3"/>
  <c r="D4" i="3" s="1"/>
  <c r="M2" i="3"/>
  <c r="H2" i="3"/>
  <c r="I2" i="3" s="1"/>
  <c r="C2" i="3"/>
  <c r="D2" i="3" s="1"/>
  <c r="N2" i="3" l="1"/>
  <c r="B11" i="3" s="1"/>
  <c r="I4" i="3"/>
  <c r="N6" i="3"/>
  <c r="B13" i="3" s="1"/>
  <c r="C12" i="3"/>
  <c r="D12" i="3" s="1"/>
  <c r="N4" i="3"/>
  <c r="B12" i="3" s="1"/>
  <c r="C11" i="3" l="1"/>
  <c r="D11" i="3" s="1"/>
  <c r="C13" i="3"/>
  <c r="D13" i="3" s="1"/>
  <c r="K29" i="13"/>
  <c r="J29" i="13"/>
  <c r="G29" i="13"/>
  <c r="F29" i="13"/>
  <c r="C29" i="13"/>
  <c r="B29" i="13"/>
  <c r="K28" i="13"/>
  <c r="J28" i="13"/>
  <c r="G28" i="13"/>
  <c r="F28" i="13"/>
  <c r="C28" i="13"/>
  <c r="B28" i="13"/>
  <c r="K27" i="13"/>
  <c r="J27" i="13"/>
  <c r="G27" i="13"/>
  <c r="F27" i="13"/>
  <c r="C27" i="13"/>
  <c r="B27" i="13"/>
  <c r="K24" i="13"/>
  <c r="J24" i="13"/>
  <c r="G24" i="13"/>
  <c r="F24" i="13"/>
  <c r="C24" i="13"/>
  <c r="B24" i="13"/>
  <c r="K23" i="13"/>
  <c r="J23" i="13"/>
  <c r="G23" i="13"/>
  <c r="F23" i="13"/>
  <c r="C23" i="13"/>
  <c r="B23" i="13"/>
  <c r="K22" i="13"/>
  <c r="J22" i="13"/>
  <c r="G22" i="13"/>
  <c r="F22" i="13"/>
  <c r="C22" i="13"/>
  <c r="B22" i="13"/>
  <c r="O36" i="11" l="1"/>
  <c r="P36" i="11" s="1"/>
  <c r="O35" i="11"/>
  <c r="P35" i="11" s="1"/>
  <c r="O32" i="11"/>
  <c r="P32" i="11" s="1"/>
  <c r="O31" i="11"/>
  <c r="P31" i="11" s="1"/>
  <c r="O28" i="11"/>
  <c r="P28" i="11" s="1"/>
  <c r="O27" i="11"/>
  <c r="P27" i="11" s="1"/>
  <c r="O24" i="11"/>
  <c r="P24" i="11" s="1"/>
  <c r="O23" i="11"/>
  <c r="P23" i="11" s="1"/>
  <c r="B23" i="10" l="1"/>
  <c r="B21" i="10"/>
  <c r="B20" i="10"/>
  <c r="H15" i="10"/>
  <c r="H14" i="10"/>
  <c r="E15" i="10"/>
  <c r="E14" i="10"/>
  <c r="B15" i="10"/>
  <c r="B14" i="10"/>
  <c r="D29" i="4" l="1"/>
  <c r="C29" i="4"/>
  <c r="C19" i="4" l="1"/>
  <c r="D19" i="4"/>
  <c r="B24" i="4"/>
  <c r="D23" i="4"/>
  <c r="C23" i="4"/>
  <c r="D22" i="4"/>
  <c r="C22" i="4"/>
  <c r="D14" i="4"/>
  <c r="C14" i="4"/>
  <c r="B14" i="4"/>
  <c r="C9" i="4"/>
  <c r="D4" i="4"/>
  <c r="C4" i="4"/>
  <c r="B4" i="4"/>
  <c r="D24" i="4" l="1"/>
  <c r="B27" i="4"/>
  <c r="B28" i="4" s="1"/>
  <c r="C27" i="4"/>
  <c r="C28" i="4" s="1"/>
  <c r="D27" i="4"/>
  <c r="D28" i="4" s="1"/>
  <c r="C24" i="4"/>
  <c r="I19" i="1" l="1"/>
  <c r="I20" i="1"/>
  <c r="I21" i="1"/>
  <c r="I22" i="1"/>
  <c r="I24" i="1"/>
  <c r="I25" i="1"/>
  <c r="I26" i="1"/>
  <c r="I27" i="1"/>
  <c r="I28" i="1"/>
  <c r="D21" i="1"/>
  <c r="D27" i="1"/>
  <c r="D4" i="14"/>
  <c r="D5" i="14"/>
  <c r="D6" i="14" l="1"/>
  <c r="H5" i="14" s="1"/>
</calcChain>
</file>

<file path=xl/sharedStrings.xml><?xml version="1.0" encoding="utf-8"?>
<sst xmlns="http://schemas.openxmlformats.org/spreadsheetml/2006/main" count="5995" uniqueCount="426">
  <si>
    <t>GFP</t>
  </si>
  <si>
    <t>RFP</t>
  </si>
  <si>
    <t>BFP</t>
  </si>
  <si>
    <t>total billes</t>
  </si>
  <si>
    <t>WT fzo GFP +</t>
  </si>
  <si>
    <t>WT Pex3mcherry +</t>
  </si>
  <si>
    <t>Delta Pex3mcherry +</t>
  </si>
  <si>
    <t>Delta Triple +</t>
  </si>
  <si>
    <t xml:space="preserve"> </t>
  </si>
  <si>
    <t>Delta Fzo GFP +</t>
  </si>
  <si>
    <t>Delta Fzo GFP  +</t>
  </si>
  <si>
    <t>WT Triple  +</t>
  </si>
  <si>
    <t>Souche</t>
  </si>
  <si>
    <t>WT Triple +</t>
  </si>
  <si>
    <t>Total B GFP</t>
  </si>
  <si>
    <t>WT Triple -</t>
  </si>
  <si>
    <t>Delta Triple -</t>
  </si>
  <si>
    <t>Total RFP</t>
  </si>
  <si>
    <t>% RFP (Spe)</t>
  </si>
  <si>
    <t xml:space="preserve">Souche </t>
  </si>
  <si>
    <t>Total BFP</t>
  </si>
  <si>
    <t>% BFP (Spe)</t>
  </si>
  <si>
    <t>WT fzo GFP -</t>
  </si>
  <si>
    <t>WT Pex3mcherry -</t>
  </si>
  <si>
    <t>Delta Fzo GFP -</t>
  </si>
  <si>
    <t>Delta Pex3mcherry -</t>
  </si>
  <si>
    <t>GFP (+RFP)</t>
  </si>
  <si>
    <t>% GFP (spe)</t>
  </si>
  <si>
    <t>WT</t>
  </si>
  <si>
    <t>Cyc</t>
  </si>
  <si>
    <t>TEF</t>
  </si>
  <si>
    <t>Analyse de variance: un facteur</t>
  </si>
  <si>
    <t>fzo</t>
  </si>
  <si>
    <t>PGK</t>
  </si>
  <si>
    <t>RAPPORT DÉTAILLÉ</t>
  </si>
  <si>
    <t>Groupes</t>
  </si>
  <si>
    <t>Nombre d'échantillons</t>
  </si>
  <si>
    <t>Somme</t>
  </si>
  <si>
    <t>Moyenne</t>
  </si>
  <si>
    <t>Variance</t>
  </si>
  <si>
    <t>Fzo/PGK</t>
  </si>
  <si>
    <t>Colonne 1</t>
  </si>
  <si>
    <t>Colonne 2</t>
  </si>
  <si>
    <t>Fzo</t>
  </si>
  <si>
    <t>ANALYSE DE VARIANCE</t>
  </si>
  <si>
    <t>Source des variations</t>
  </si>
  <si>
    <t>Somme des carrés</t>
  </si>
  <si>
    <t>Degré de liberté</t>
  </si>
  <si>
    <t>Moyenne des carrés</t>
  </si>
  <si>
    <t>F</t>
  </si>
  <si>
    <t>Probabilité</t>
  </si>
  <si>
    <t>Valeur critique pour F</t>
  </si>
  <si>
    <t>Entre Groupes</t>
  </si>
  <si>
    <t>A l'intérieur des groupes</t>
  </si>
  <si>
    <r>
      <t> **</t>
    </r>
    <r>
      <rPr>
        <i/>
        <sz val="10"/>
        <color rgb="FF222222"/>
        <rFont val="Times New Roman"/>
        <family val="1"/>
      </rPr>
      <t>P</t>
    </r>
    <r>
      <rPr>
        <sz val="10"/>
        <color rgb="FF222222"/>
        <rFont val="Times New Roman"/>
        <family val="1"/>
      </rPr>
      <t>&lt;0.05, ***</t>
    </r>
    <r>
      <rPr>
        <i/>
        <sz val="10"/>
        <color rgb="FF222222"/>
        <rFont val="Times New Roman"/>
        <family val="1"/>
      </rPr>
      <t>P</t>
    </r>
    <r>
      <rPr>
        <sz val="10"/>
        <color rgb="FF222222"/>
        <rFont val="Times New Roman"/>
        <family val="1"/>
      </rPr>
      <t>&lt;0.005 </t>
    </r>
  </si>
  <si>
    <t>Total</t>
  </si>
  <si>
    <t>Tef</t>
  </si>
  <si>
    <t>Fzo1</t>
  </si>
  <si>
    <t>pgk</t>
  </si>
  <si>
    <t>SEM</t>
  </si>
  <si>
    <t>Anova</t>
  </si>
  <si>
    <t>Fzo1/PGK</t>
  </si>
  <si>
    <t>tef</t>
  </si>
  <si>
    <t>SD</t>
  </si>
  <si>
    <t xml:space="preserve"> WT</t>
  </si>
  <si>
    <t xml:space="preserve"> tef</t>
  </si>
  <si>
    <t>CYC</t>
  </si>
  <si>
    <t>replicate 1</t>
  </si>
  <si>
    <t>Replicate 2</t>
  </si>
  <si>
    <t>Replicate 3</t>
  </si>
  <si>
    <t>Replicate 4</t>
  </si>
  <si>
    <t>p=</t>
  </si>
  <si>
    <t>mtBFP S201N GFP mock</t>
  </si>
  <si>
    <t>mtBFP S201N GFP +</t>
  </si>
  <si>
    <t>mtBFP Fzo-GFP mock</t>
  </si>
  <si>
    <t>mtBFP Fzo-GFP +</t>
  </si>
  <si>
    <t>WT Triple mock</t>
  </si>
  <si>
    <t>S201N Triple mock</t>
  </si>
  <si>
    <t>S201N Triple +</t>
  </si>
  <si>
    <t>mtBFP S201N mock</t>
  </si>
  <si>
    <t>mtBFP S201N +</t>
  </si>
  <si>
    <t>average 3Ns</t>
  </si>
  <si>
    <t>Green</t>
  </si>
  <si>
    <t>count of beads</t>
  </si>
  <si>
    <t>total beads</t>
  </si>
  <si>
    <t>WT triple</t>
  </si>
  <si>
    <t>S201N triple</t>
  </si>
  <si>
    <t>12.11.2019 Pex3 mcherry</t>
  </si>
  <si>
    <t>13.12.2019 Pex3 mcherry</t>
  </si>
  <si>
    <t>28.11.2019 Pex3mcherry</t>
  </si>
  <si>
    <t>WT double</t>
  </si>
  <si>
    <t>S201N double</t>
  </si>
  <si>
    <t>Substracted</t>
  </si>
  <si>
    <t>S201N</t>
  </si>
  <si>
    <r>
      <t> **</t>
    </r>
    <r>
      <rPr>
        <i/>
        <sz val="11"/>
        <color rgb="FF222222"/>
        <rFont val="Arial"/>
        <family val="2"/>
      </rPr>
      <t>P</t>
    </r>
    <r>
      <rPr>
        <sz val="11"/>
        <color rgb="FF222222"/>
        <rFont val="Arial"/>
        <family val="2"/>
      </rPr>
      <t>&lt;0.05, ***</t>
    </r>
    <r>
      <rPr>
        <i/>
        <sz val="11"/>
        <color rgb="FF222222"/>
        <rFont val="Arial"/>
        <family val="2"/>
      </rPr>
      <t>P</t>
    </r>
    <r>
      <rPr>
        <sz val="11"/>
        <color rgb="FF222222"/>
        <rFont val="Arial"/>
        <family val="2"/>
      </rPr>
      <t>&lt;0.005 (ANOVA).</t>
    </r>
  </si>
  <si>
    <t>Anova: Single Factor</t>
  </si>
  <si>
    <t>SUMMARY</t>
  </si>
  <si>
    <t>Groups</t>
  </si>
  <si>
    <t>Count</t>
  </si>
  <si>
    <t>Sum</t>
  </si>
  <si>
    <t>Average</t>
  </si>
  <si>
    <t>Column 1</t>
  </si>
  <si>
    <t>Column 2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</si>
  <si>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</si>
  <si>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</si>
  <si>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</si>
  <si>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</si>
  <si>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</si>
  <si>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</si>
  <si>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</si>
  <si>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</si>
  <si>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</si>
  <si>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Serie Mélanges WT/Pex34D</t>
  </si>
  <si>
    <t>N=1</t>
  </si>
  <si>
    <t>N=2</t>
  </si>
  <si>
    <t>Mitos attachées</t>
  </si>
  <si>
    <t>Nombre de billes rouges</t>
  </si>
  <si>
    <t>Total billes</t>
  </si>
  <si>
    <t>% mitos</t>
  </si>
  <si>
    <t>normalisation/100</t>
  </si>
  <si>
    <t>1847+WT Fzo1</t>
  </si>
  <si>
    <t>1842+WT Fzo1</t>
  </si>
  <si>
    <t>total</t>
  </si>
  <si>
    <t>1847+S201N Fzo1</t>
  </si>
  <si>
    <t>1842+S201N Fzo1</t>
  </si>
  <si>
    <t>1847+WT Fzo1 Pex34D</t>
  </si>
  <si>
    <t>1842+WT Fzo1 Pex34D</t>
  </si>
  <si>
    <t>1847+S201N Fzo1 Pex34D</t>
  </si>
  <si>
    <t>1842+S201N Fzo1 Pex34D</t>
  </si>
  <si>
    <t>N=3</t>
  </si>
  <si>
    <t>Moyenne 3N</t>
  </si>
  <si>
    <t>Substraction</t>
  </si>
  <si>
    <t>WT vs S201N</t>
  </si>
  <si>
    <t>***</t>
  </si>
  <si>
    <t>WT vs Pex34 WT</t>
  </si>
  <si>
    <t>**</t>
  </si>
  <si>
    <t>Pex34 WT vs Pex34 S201N</t>
  </si>
  <si>
    <t>S201N vs Pex34 S201N</t>
  </si>
  <si>
    <t>**P&lt;0.05, ***P&lt;0.005</t>
  </si>
  <si>
    <t>replicate 2</t>
  </si>
  <si>
    <t>replicate 3</t>
  </si>
  <si>
    <t>ratio 1/S201N</t>
  </si>
  <si>
    <t>Manip 1</t>
  </si>
  <si>
    <t>mls1D</t>
  </si>
  <si>
    <t>Total Fusion</t>
  </si>
  <si>
    <t>Partial Fusion</t>
  </si>
  <si>
    <t>No fusion</t>
  </si>
  <si>
    <t>Manip 2</t>
  </si>
  <si>
    <t>Manip 3</t>
  </si>
  <si>
    <t>CYC1 (25 zygots)</t>
  </si>
  <si>
    <t>Ole1 (25 zygots)</t>
  </si>
  <si>
    <t>TEF (25 zygots)</t>
  </si>
  <si>
    <t>mlsD</t>
  </si>
  <si>
    <t>total cellules</t>
  </si>
  <si>
    <t>% perox/cell</t>
  </si>
  <si>
    <t>1861 (Ole1D+Ole1 prom Endo)</t>
  </si>
  <si>
    <t>%</t>
  </si>
  <si>
    <t xml:space="preserve">1863 (Ole1D+Ole1 prom Cyc) </t>
  </si>
  <si>
    <t>1865(Ole1D+Ole1 prom TEF)</t>
  </si>
  <si>
    <t>Moyenne perox</t>
  </si>
  <si>
    <t>Total peroxisomes</t>
  </si>
  <si>
    <t>Tubular</t>
  </si>
  <si>
    <t>Fzo1-GFP</t>
  </si>
  <si>
    <t>tubular</t>
  </si>
  <si>
    <t>06-1</t>
  </si>
  <si>
    <t>04-1</t>
  </si>
  <si>
    <t>05-1</t>
  </si>
  <si>
    <t>FZO1-GFP</t>
  </si>
  <si>
    <t>Not tubular</t>
  </si>
  <si>
    <t>Mitochondrial morphologies</t>
  </si>
  <si>
    <t>Attached</t>
  </si>
  <si>
    <t>Detached</t>
  </si>
  <si>
    <t>Averages</t>
  </si>
  <si>
    <t>Replicate 1</t>
  </si>
  <si>
    <t>WT att</t>
  </si>
  <si>
    <t>S201N att</t>
  </si>
  <si>
    <t>attached</t>
  </si>
  <si>
    <t>Mgm1D</t>
  </si>
  <si>
    <t>total %</t>
  </si>
  <si>
    <t>substraction -TX</t>
  </si>
  <si>
    <t>D triple</t>
  </si>
  <si>
    <t>substraction +TX</t>
  </si>
  <si>
    <t>substraction</t>
  </si>
  <si>
    <t>D</t>
  </si>
  <si>
    <t>ratio</t>
  </si>
  <si>
    <t>-</t>
  </si>
  <si>
    <t>+</t>
  </si>
  <si>
    <t>Delta MDM30</t>
  </si>
  <si>
    <t>replicate 3 +TX</t>
  </si>
  <si>
    <t>Background</t>
  </si>
  <si>
    <t>Background -TX</t>
  </si>
  <si>
    <t>Replicate 3 -TX</t>
  </si>
  <si>
    <t>Background +TX</t>
  </si>
  <si>
    <t>no TX</t>
  </si>
  <si>
    <t>with TX</t>
  </si>
  <si>
    <t>triton control exp</t>
  </si>
  <si>
    <t>% Final</t>
  </si>
  <si>
    <t>Mdm30∆</t>
  </si>
  <si>
    <t>Attached WT vs Delta</t>
  </si>
  <si>
    <t>Ole1D + Ole1 prom Ole1</t>
  </si>
  <si>
    <t>Ole1D + Ole1 prom Cyc</t>
  </si>
  <si>
    <t>Ole1D + Ole1 prom TEF</t>
  </si>
  <si>
    <t>averages</t>
  </si>
  <si>
    <t>WT/CYC</t>
  </si>
  <si>
    <t>WT/TEF</t>
  </si>
  <si>
    <r>
      <rPr>
        <i/>
        <sz val="11"/>
        <color theme="1"/>
        <rFont val="Calibri"/>
        <family val="2"/>
        <scheme val="minor"/>
      </rPr>
      <t>p=</t>
    </r>
    <r>
      <rPr>
        <sz val="11"/>
        <color theme="1"/>
        <rFont val="Calibri"/>
        <family val="2"/>
        <scheme val="minor"/>
      </rPr>
      <t>0.0084</t>
    </r>
  </si>
  <si>
    <r>
      <rPr>
        <i/>
        <sz val="11"/>
        <color theme="1"/>
        <rFont val="Calibri"/>
        <family val="2"/>
        <scheme val="minor"/>
      </rPr>
      <t>p=</t>
    </r>
    <r>
      <rPr>
        <sz val="11"/>
        <color theme="1"/>
        <rFont val="Calibri"/>
        <family val="2"/>
        <scheme val="minor"/>
      </rPr>
      <t>0.0085</t>
    </r>
  </si>
  <si>
    <t>Non attached</t>
  </si>
  <si>
    <t>CYC CIT2</t>
  </si>
  <si>
    <t>WT CIT2</t>
  </si>
  <si>
    <t>TEF CIT2</t>
  </si>
  <si>
    <t>CYC CAT2</t>
  </si>
  <si>
    <t>WT CAT2</t>
  </si>
  <si>
    <t>TEF CAT2</t>
  </si>
  <si>
    <t>fusion</t>
  </si>
  <si>
    <t>fission</t>
  </si>
  <si>
    <t>mls1 NT</t>
  </si>
  <si>
    <t>mls1+Treated</t>
  </si>
  <si>
    <t>CYC NT vs Treated</t>
  </si>
  <si>
    <t>Ole1 NT vs Treated</t>
  </si>
  <si>
    <t>TEF NT vs Treated</t>
  </si>
  <si>
    <t>MLS1 SET</t>
  </si>
  <si>
    <t>Cit 2 SET</t>
  </si>
  <si>
    <t>Cit2 Not treated</t>
  </si>
  <si>
    <t>Cit2+Treated</t>
  </si>
  <si>
    <t>Fission</t>
  </si>
  <si>
    <t>Fusion</t>
  </si>
  <si>
    <t>% fusion</t>
  </si>
  <si>
    <t>% fission</t>
  </si>
  <si>
    <t>MLS1</t>
  </si>
  <si>
    <t>Standard Deviation and SEM WT</t>
  </si>
  <si>
    <t>Standard Deviation and SEM MLS1D</t>
  </si>
  <si>
    <t>WT + MLS1 SET</t>
  </si>
  <si>
    <t>WT + CTP1 SET</t>
  </si>
  <si>
    <t>CTP1</t>
  </si>
  <si>
    <t>Standard Deviation and SEM CTP1 D</t>
  </si>
  <si>
    <t>CIT2</t>
  </si>
  <si>
    <t>Standard Deviation and SEM CIT2</t>
  </si>
  <si>
    <t>WT + CIT2 SET</t>
  </si>
  <si>
    <t>Replicate 1 - WT</t>
  </si>
  <si>
    <t>Replicate 2 - WT</t>
  </si>
  <si>
    <t>Fragmented</t>
  </si>
  <si>
    <t>Aggregated</t>
  </si>
  <si>
    <t>Replicate 3 - WT</t>
  </si>
  <si>
    <t>Averages- WT</t>
  </si>
  <si>
    <t>Replicate 1 - MLS1</t>
  </si>
  <si>
    <t>Replicate 2 - MLS1</t>
  </si>
  <si>
    <t>Replicate 3 - MLS1</t>
  </si>
  <si>
    <t>CYC Tubular WT vs MLS1</t>
  </si>
  <si>
    <t>OLE1 Tubular WT vs MLS1</t>
  </si>
  <si>
    <t>TEF Tubular WT vs MLS1</t>
  </si>
  <si>
    <t>WT N=1</t>
  </si>
  <si>
    <t>CIT2D N=1</t>
  </si>
  <si>
    <t>CAT2D N=1</t>
  </si>
  <si>
    <t>Non Tub</t>
  </si>
  <si>
    <t>WT N=2</t>
  </si>
  <si>
    <t>CIT2D N=2</t>
  </si>
  <si>
    <t>CAT2D N=2</t>
  </si>
  <si>
    <t>WT N=3</t>
  </si>
  <si>
    <t>CIT2D N=3</t>
  </si>
  <si>
    <t>CAT2D N=3</t>
  </si>
  <si>
    <t>wt</t>
  </si>
  <si>
    <t>cit</t>
  </si>
  <si>
    <t>cat</t>
  </si>
  <si>
    <t>Average CIT2D</t>
  </si>
  <si>
    <t>Average CAT2D</t>
  </si>
  <si>
    <t>Average  WT</t>
  </si>
  <si>
    <t>v</t>
  </si>
  <si>
    <t>CYC WT/CIT2</t>
  </si>
  <si>
    <t>CYC WT/CAT2</t>
  </si>
  <si>
    <t>OLE1  WT/CAT2</t>
  </si>
  <si>
    <t>OLE1 WT/CIT2</t>
  </si>
  <si>
    <t>TEF WT/CIT2</t>
  </si>
  <si>
    <t>TEF WT/CAT2</t>
  </si>
  <si>
    <t>WT Non-Treated</t>
  </si>
  <si>
    <t>MLS1D Non-Treated</t>
  </si>
  <si>
    <t>MLS1D + Alpha Keto Glutaric  Acid</t>
  </si>
  <si>
    <t>MLS1D + Citric Acid</t>
  </si>
  <si>
    <t>MLS1D + Glutamate 10mM</t>
  </si>
  <si>
    <t>Cytosolic</t>
  </si>
  <si>
    <t>Non-cytosolic</t>
  </si>
  <si>
    <t>cyc</t>
  </si>
  <si>
    <t>cyc-alpha keto</t>
  </si>
  <si>
    <t>tef alpha keto</t>
  </si>
  <si>
    <t>cyc citrate</t>
  </si>
  <si>
    <t>tef citrate</t>
  </si>
  <si>
    <t>cyc glutamate</t>
  </si>
  <si>
    <t>tef glutamate</t>
  </si>
  <si>
    <t>CYC WT vs MLS1D</t>
  </si>
  <si>
    <t>OLE1 WT vs MLS1D</t>
  </si>
  <si>
    <t>TEF  WT vs MLS1D</t>
  </si>
  <si>
    <t>MLS1D Replicate 1</t>
  </si>
  <si>
    <t>MLS1D Replicate 2</t>
  </si>
  <si>
    <t>MLS1D Replicate 3</t>
  </si>
  <si>
    <t>Average MLS1D</t>
  </si>
  <si>
    <t>MLS1D</t>
  </si>
  <si>
    <t>Shuffle Ole1</t>
  </si>
  <si>
    <t>MLS1 ICL1</t>
  </si>
  <si>
    <t>ICL1</t>
  </si>
  <si>
    <t>1836 (Suffle Ole1) Replicate 1</t>
  </si>
  <si>
    <t>1835 (shuffle Ole1) Replicate 2</t>
  </si>
  <si>
    <t>1836 (Suffle Ole1) Replicate 3</t>
  </si>
  <si>
    <t>MLS1D-ICL1D Replicate 1</t>
  </si>
  <si>
    <t>MLS1D-ICL1D Replicate 2</t>
  </si>
  <si>
    <t>MLS1D-ICL1D Replicate 3</t>
  </si>
  <si>
    <t>ICL1D Replicate 1</t>
  </si>
  <si>
    <t>ICL1D replicate 2</t>
  </si>
  <si>
    <t>ICL1D replicate 3</t>
  </si>
  <si>
    <t>CYC WTvs MLS1</t>
  </si>
  <si>
    <t>CYC WTvs MLS1ICL1</t>
  </si>
  <si>
    <t>CYC WTvs ICL1</t>
  </si>
  <si>
    <t>OLE1 WTvs MLS1</t>
  </si>
  <si>
    <t>OLE1 WTvs MLS1ICL1</t>
  </si>
  <si>
    <t>OLE1 WTvs ICL1</t>
  </si>
  <si>
    <t>TEF WTvs MLS1</t>
  </si>
  <si>
    <t>TEF1 WTvs MLS1 ICL1</t>
  </si>
  <si>
    <t xml:space="preserve">WT </t>
  </si>
  <si>
    <t>cit2D</t>
  </si>
  <si>
    <t>CYC WT vs CIT2</t>
  </si>
  <si>
    <t>OLE1 WT vs CIT2</t>
  </si>
  <si>
    <t>TEF  WT vs CIT2</t>
  </si>
  <si>
    <t>PEX34D Cyc</t>
  </si>
  <si>
    <t>PEX34D WT</t>
  </si>
  <si>
    <t>PEX34D TEF</t>
  </si>
  <si>
    <t>UBP2D Cyc</t>
  </si>
  <si>
    <t>UBP2D WT</t>
  </si>
  <si>
    <t>UBP2D TEF</t>
  </si>
  <si>
    <t>% att</t>
  </si>
  <si>
    <t>% det</t>
  </si>
  <si>
    <t>Total cells</t>
  </si>
  <si>
    <t>Tubulaires</t>
  </si>
  <si>
    <t>average Shuffle OLe1 WT</t>
  </si>
  <si>
    <t>average MLS1DICL1D</t>
  </si>
  <si>
    <t>average ICL1D</t>
  </si>
  <si>
    <t>ICL1D Replicate 2</t>
  </si>
  <si>
    <t>ICL1D Replicate 3</t>
  </si>
  <si>
    <t>CTP1D N=1</t>
  </si>
  <si>
    <t>CTP1D N=2</t>
  </si>
  <si>
    <t>CTP1D N=3</t>
  </si>
  <si>
    <t>Averages CTP1</t>
  </si>
  <si>
    <t>Averages WT</t>
  </si>
  <si>
    <t>CYC WT vs CTP1</t>
  </si>
  <si>
    <t>TEF WT vs CTP1</t>
  </si>
  <si>
    <t>OLE1 WTvsCTP1</t>
  </si>
  <si>
    <t>Non Tubular</t>
  </si>
  <si>
    <t>average</t>
  </si>
  <si>
    <t>CYC NT vs Alpha keto</t>
  </si>
  <si>
    <t>TEF NT vs Alpha keto</t>
  </si>
  <si>
    <t>CYC NT vs Citrate</t>
  </si>
  <si>
    <t>OLE1 NT vs Citrate</t>
  </si>
  <si>
    <t>OLE1 NT vs Alpha keto</t>
  </si>
  <si>
    <t>TEF NT vs Citrate</t>
  </si>
  <si>
    <t>CYC NT vs Glutamate</t>
  </si>
  <si>
    <t>OLE1 NT vs glutamate</t>
  </si>
  <si>
    <t>TEF NT vs Glutamate</t>
  </si>
  <si>
    <t>MLS1D CYC</t>
  </si>
  <si>
    <t>MLS1D OLE1</t>
  </si>
  <si>
    <t>MLS1D TEF</t>
  </si>
  <si>
    <t>MLS1D CYC Average</t>
  </si>
  <si>
    <t>MLS1D OLE1 Average</t>
  </si>
  <si>
    <t>MLS1D TEF Average</t>
  </si>
  <si>
    <t>Green (+Red)</t>
  </si>
  <si>
    <t>% Green  (specific)</t>
  </si>
  <si>
    <t>Average Green</t>
  </si>
  <si>
    <t>Red</t>
  </si>
  <si>
    <t>Total Red</t>
  </si>
  <si>
    <t>% Red  (Specific)</t>
  </si>
  <si>
    <t>Average Red</t>
  </si>
  <si>
    <t>Blue</t>
  </si>
  <si>
    <t>Total Blue</t>
  </si>
  <si>
    <t>% Blue (Specific)</t>
  </si>
  <si>
    <t>Average Blue</t>
  </si>
  <si>
    <t xml:space="preserve"> Replicate 1</t>
  </si>
  <si>
    <t>CYC (control)</t>
  </si>
  <si>
    <t>WT (control)</t>
  </si>
  <si>
    <t>TEF (control)</t>
  </si>
  <si>
    <t>CYC vs WT Cit2</t>
  </si>
  <si>
    <t>TEF vs WT Cit2</t>
  </si>
  <si>
    <t>CYC vs WT Cat2</t>
  </si>
  <si>
    <t xml:space="preserve"> CYC WT/ CYC Cit2</t>
  </si>
  <si>
    <t>OLE1 WT/ OLE1 Cit2</t>
  </si>
  <si>
    <t>TEF WT/TEF Cit2</t>
  </si>
  <si>
    <t xml:space="preserve"> CYC WT/OLE1 WT</t>
  </si>
  <si>
    <t xml:space="preserve"> CYC WT/TEF WT</t>
  </si>
  <si>
    <t>OLE1 WT/TEF WT</t>
  </si>
  <si>
    <t xml:space="preserve"> CYC WT/ CYC MLS1</t>
  </si>
  <si>
    <t>OLE1 WT/ OLE1 MLS1</t>
  </si>
  <si>
    <t>TEF WT/TEF MLS1</t>
  </si>
  <si>
    <t>OLE1 WT/OLE1 MLS1</t>
  </si>
  <si>
    <t xml:space="preserve"> CYC WT/CYC CTP1</t>
  </si>
  <si>
    <t xml:space="preserve"> CYC WT/ CYC CTP1</t>
  </si>
  <si>
    <t>OLE1 WT/ OLE1CTP1</t>
  </si>
  <si>
    <t>OLE1 WT/OLE1 CTP1</t>
  </si>
  <si>
    <t>TEF WT/TEF CTP1</t>
  </si>
  <si>
    <t>TEF WT/ TEF MLS1</t>
  </si>
  <si>
    <t>CYC/WT</t>
  </si>
  <si>
    <t>CYC/TEF</t>
  </si>
  <si>
    <t>attached WT/Mgm1</t>
  </si>
  <si>
    <t>attached WT/S201N</t>
  </si>
  <si>
    <t>TEF/WT</t>
  </si>
  <si>
    <t>SD attached</t>
  </si>
  <si>
    <t>SD detached</t>
  </si>
  <si>
    <t>SEM attached</t>
  </si>
  <si>
    <t>SEM detached</t>
  </si>
  <si>
    <t>Averages Mdm30D</t>
  </si>
  <si>
    <t>Replicate 1- Mdm30D</t>
  </si>
  <si>
    <t>Replicate 2 -Mdm30D</t>
  </si>
  <si>
    <t>Replicate 3-Mdm30D</t>
  </si>
  <si>
    <t>single factor</t>
  </si>
  <si>
    <t>Anova single factor</t>
  </si>
  <si>
    <t>Averages- MLS1</t>
  </si>
  <si>
    <t>WT (Shuffle Ole1) Replicate 1</t>
  </si>
  <si>
    <t>WT (Suffle Ole1) Replicate 2</t>
  </si>
  <si>
    <t>WT (Suffle Ole1) Replicate 3</t>
  </si>
  <si>
    <t>Average Shuffle OLe1 WT</t>
  </si>
  <si>
    <t>Average MLS1DICL1D</t>
  </si>
  <si>
    <t>Average ICL1D</t>
  </si>
  <si>
    <t>TEF1 WT vs MLS1 ICL1</t>
  </si>
  <si>
    <t>TEF WTvs ICL1</t>
  </si>
  <si>
    <t>Ole1 -alpha keto</t>
  </si>
  <si>
    <t>ole1 citrate</t>
  </si>
  <si>
    <t>ole1 glutamate</t>
  </si>
  <si>
    <t>CYC/OLE1</t>
  </si>
  <si>
    <t>OLE1/TEF</t>
  </si>
  <si>
    <t>TEF vs WT Cat2</t>
  </si>
  <si>
    <t xml:space="preserve">Anova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</si>
</sst>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000"/>
    <numFmt numFmtId="167" formatCode="0.0%"/>
    <numFmt numFmtId="168" formatCode="0.000000"/>
    <numFmt numFmtId="169" formatCode="0.0000000"/>
  </numFmts>
  <fonts count="1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222222"/>
      <name val="Times New Roman"/>
      <family val="1"/>
    </font>
    <font>
      <i/>
      <sz val="10"/>
      <color rgb="FF222222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  <font>
      <i/>
      <sz val="11"/>
      <color rgb="FF222222"/>
      <name val="Arial"/>
      <family val="2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B8DEE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6D6D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3CE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E4C4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DEE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1" fontId="7" fillId="0" borderId="0" xfId="0" applyNumberFormat="1" applyFont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7" fillId="0" borderId="2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7" borderId="0" xfId="0" applyFont="1" applyFill="1"/>
    <xf numFmtId="0" fontId="11" fillId="0" borderId="0" xfId="0" applyFont="1" applyAlignment="1">
      <alignment horizontal="center" vertical="center"/>
    </xf>
    <xf numFmtId="0" fontId="7" fillId="3" borderId="0" xfId="0" applyFont="1" applyFill="1"/>
    <xf numFmtId="0" fontId="7" fillId="4" borderId="0" xfId="0" applyFont="1" applyFill="1"/>
    <xf numFmtId="14" fontId="7" fillId="0" borderId="0" xfId="0" applyNumberFormat="1" applyFont="1"/>
    <xf numFmtId="0" fontId="7" fillId="0" borderId="12" xfId="0" applyFont="1" applyBorder="1" applyAlignment="1">
      <alignment horizontal="center"/>
    </xf>
    <xf numFmtId="165" fontId="7" fillId="0" borderId="0" xfId="0" applyNumberFormat="1" applyFont="1"/>
    <xf numFmtId="2" fontId="7" fillId="0" borderId="13" xfId="0" applyNumberFormat="1" applyFont="1" applyBorder="1"/>
    <xf numFmtId="166" fontId="7" fillId="0" borderId="0" xfId="0" applyNumberFormat="1" applyFont="1"/>
    <xf numFmtId="11" fontId="7" fillId="0" borderId="0" xfId="0" applyNumberFormat="1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0" xfId="0" applyFont="1" applyAlignment="1">
      <alignment horizontal="center"/>
    </xf>
    <xf numFmtId="1" fontId="13" fillId="0" borderId="14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165" fontId="13" fillId="0" borderId="16" xfId="0" applyNumberFormat="1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167" fontId="1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/>
    <xf numFmtId="1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167" fontId="13" fillId="0" borderId="0" xfId="0" applyNumberFormat="1" applyFont="1" applyAlignment="1">
      <alignment horizontal="center" vertical="center"/>
    </xf>
    <xf numFmtId="167" fontId="4" fillId="0" borderId="0" xfId="0" applyNumberFormat="1" applyFont="1"/>
    <xf numFmtId="0" fontId="1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" fontId="0" fillId="0" borderId="0" xfId="0" quotePrefix="1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" fontId="4" fillId="0" borderId="0" xfId="0" applyNumberFormat="1" applyFont="1"/>
    <xf numFmtId="0" fontId="0" fillId="0" borderId="0" xfId="0" applyAlignment="1">
      <alignment vertical="center"/>
    </xf>
    <xf numFmtId="0" fontId="0" fillId="9" borderId="0" xfId="0" applyFill="1"/>
    <xf numFmtId="0" fontId="0" fillId="0" borderId="12" xfId="0" applyBorder="1"/>
    <xf numFmtId="0" fontId="0" fillId="0" borderId="13" xfId="0" applyBorder="1"/>
    <xf numFmtId="0" fontId="5" fillId="0" borderId="0" xfId="0" applyFont="1" applyAlignment="1">
      <alignment vertical="center"/>
    </xf>
    <xf numFmtId="0" fontId="5" fillId="8" borderId="0" xfId="0" applyFont="1" applyFill="1"/>
    <xf numFmtId="0" fontId="0" fillId="8" borderId="0" xfId="0" applyFill="1"/>
    <xf numFmtId="0" fontId="5" fillId="0" borderId="0" xfId="0" applyFont="1" applyAlignment="1">
      <alignment horizontal="center"/>
    </xf>
    <xf numFmtId="0" fontId="0" fillId="16" borderId="0" xfId="0" applyFill="1"/>
    <xf numFmtId="0" fontId="0" fillId="0" borderId="23" xfId="0" applyBorder="1"/>
    <xf numFmtId="0" fontId="0" fillId="2" borderId="5" xfId="0" applyFill="1" applyBorder="1"/>
    <xf numFmtId="0" fontId="0" fillId="12" borderId="5" xfId="0" applyFill="1" applyBorder="1"/>
    <xf numFmtId="0" fontId="0" fillId="17" borderId="5" xfId="0" applyFill="1" applyBorder="1"/>
    <xf numFmtId="0" fontId="0" fillId="12" borderId="0" xfId="0" applyFill="1"/>
    <xf numFmtId="0" fontId="0" fillId="17" borderId="0" xfId="0" applyFill="1"/>
    <xf numFmtId="0" fontId="5" fillId="0" borderId="5" xfId="0" applyFont="1" applyBorder="1"/>
    <xf numFmtId="0" fontId="1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3" xfId="0" applyFont="1" applyBorder="1"/>
    <xf numFmtId="0" fontId="15" fillId="0" borderId="4" xfId="0" applyFont="1" applyBorder="1"/>
    <xf numFmtId="0" fontId="15" fillId="0" borderId="0" xfId="0" applyFont="1"/>
    <xf numFmtId="0" fontId="7" fillId="0" borderId="6" xfId="0" applyFont="1" applyBorder="1"/>
    <xf numFmtId="0" fontId="5" fillId="0" borderId="2" xfId="0" applyFont="1" applyBorder="1"/>
    <xf numFmtId="0" fontId="0" fillId="16" borderId="0" xfId="0" applyFill="1" applyAlignment="1">
      <alignment horizontal="center"/>
    </xf>
    <xf numFmtId="0" fontId="5" fillId="2" borderId="0" xfId="0" applyFont="1" applyFill="1"/>
    <xf numFmtId="0" fontId="16" fillId="0" borderId="0" xfId="0" applyFont="1"/>
    <xf numFmtId="0" fontId="0" fillId="15" borderId="0" xfId="0" applyFill="1"/>
    <xf numFmtId="168" fontId="0" fillId="0" borderId="0" xfId="0" applyNumberFormat="1"/>
    <xf numFmtId="0" fontId="5" fillId="9" borderId="0" xfId="0" applyFont="1" applyFill="1" applyAlignment="1">
      <alignment horizontal="center"/>
    </xf>
    <xf numFmtId="169" fontId="0" fillId="0" borderId="0" xfId="0" applyNumberForma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" fontId="7" fillId="0" borderId="0" xfId="0" applyNumberFormat="1" applyFont="1" applyAlignment="1">
      <alignment horizontal="center"/>
    </xf>
    <xf numFmtId="0" fontId="0" fillId="15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5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5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9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14" fontId="0" fillId="10" borderId="0" xfId="0" applyNumberForma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5" fillId="15" borderId="3" xfId="0" applyFont="1" applyFill="1" applyBorder="1" applyAlignment="1">
      <alignment horizontal="center"/>
    </xf>
    <xf numFmtId="0" fontId="15" fillId="15" borderId="23" xfId="0" applyFont="1" applyFill="1" applyBorder="1" applyAlignment="1">
      <alignment horizontal="center"/>
    </xf>
    <xf numFmtId="0" fontId="15" fillId="15" borderId="5" xfId="0" applyFont="1" applyFill="1" applyBorder="1" applyAlignment="1">
      <alignment horizontal="center"/>
    </xf>
    <xf numFmtId="0" fontId="15" fillId="15" borderId="0" xfId="0" applyFont="1" applyFill="1" applyAlignment="1">
      <alignment horizontal="center"/>
    </xf>
    <xf numFmtId="0" fontId="15" fillId="2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4" fillId="1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16" fontId="7" fillId="0" borderId="0" xfId="0" applyNumberFormat="1" applyFont="1" applyAlignment="1"/>
    <xf numFmtId="0" fontId="5" fillId="24" borderId="0" xfId="0" applyFont="1" applyFill="1" applyAlignment="1">
      <alignment horizontal="center"/>
    </xf>
    <xf numFmtId="16" fontId="7" fillId="24" borderId="0" xfId="0" applyNumberFormat="1" applyFont="1" applyFill="1" applyAlignment="1">
      <alignment horizontal="center"/>
    </xf>
    <xf numFmtId="0" fontId="0" fillId="0" borderId="24" xfId="0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Border="1"/>
    <xf numFmtId="14" fontId="5" fillId="24" borderId="0" xfId="0" applyNumberFormat="1" applyFont="1" applyFill="1"/>
    <xf numFmtId="16" fontId="5" fillId="24" borderId="0" xfId="0" applyNumberFormat="1" applyFont="1" applyFill="1"/>
    <xf numFmtId="0" fontId="5" fillId="24" borderId="0" xfId="0" applyFont="1" applyFill="1"/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25" borderId="3" xfId="0" applyFont="1" applyFill="1" applyBorder="1" applyAlignment="1">
      <alignment horizontal="center"/>
    </xf>
    <xf numFmtId="0" fontId="15" fillId="25" borderId="23" xfId="0" applyFont="1" applyFill="1" applyBorder="1" applyAlignment="1">
      <alignment horizontal="center"/>
    </xf>
    <xf numFmtId="0" fontId="15" fillId="25" borderId="5" xfId="0" applyFont="1" applyFill="1" applyBorder="1" applyAlignment="1">
      <alignment horizontal="center"/>
    </xf>
    <xf numFmtId="0" fontId="15" fillId="25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E30E"/>
      <color rgb="FFEBF2DF"/>
      <color rgb="FFB8DEE9"/>
      <color rgb="FF63CEFF"/>
      <color rgb="FF009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94398381992901"/>
          <c:y val="5.2139059387367598E-2"/>
          <c:w val="0.70477275518496496"/>
          <c:h val="0.75510319546661098"/>
        </c:manualLayout>
      </c:layout>
      <c:barChart>
        <c:barDir val="col"/>
        <c:grouping val="clustered"/>
        <c:varyColors val="0"/>
        <c:ser>
          <c:idx val="0"/>
          <c:order val="0"/>
          <c:tx>
            <c:v>WT</c:v>
          </c:tx>
          <c:spPr>
            <a:solidFill>
              <a:schemeClr val="accent3"/>
            </a:solidFill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0.85399611935019326</c:v>
                </c:pt>
                <c:pt idx="1">
                  <c:v>0.85399611935019504</c:v>
                </c:pt>
              </c:numLit>
            </c:plus>
            <c:minus>
              <c:numLit>
                <c:formatCode>General</c:formatCode>
                <c:ptCount val="2"/>
                <c:pt idx="0">
                  <c:v>0.85399611935019326</c:v>
                </c:pt>
                <c:pt idx="1">
                  <c:v>0.85399611935019504</c:v>
                </c:pt>
              </c:numLit>
            </c:minus>
          </c:errBars>
          <c:cat>
            <c:strLit>
              <c:ptCount val="2"/>
              <c:pt idx="0">
                <c:v>Attached</c:v>
              </c:pt>
              <c:pt idx="1">
                <c:v>Detached</c:v>
              </c:pt>
            </c:strLit>
          </c:cat>
          <c:val>
            <c:numLit>
              <c:formatCode>General</c:formatCode>
              <c:ptCount val="2"/>
              <c:pt idx="0">
                <c:v>47.980929564919343</c:v>
              </c:pt>
              <c:pt idx="1">
                <c:v>52.019070435080657</c:v>
              </c:pt>
            </c:numLit>
          </c:val>
          <c:extLst>
            <c:ext xmlns:c16="http://schemas.microsoft.com/office/drawing/2014/chart" uri="{C3380CC4-5D6E-409C-BE32-E72D297353CC}">
              <c16:uniqueId val="{00000000-4716-034E-BC5E-ED921548EAE0}"/>
            </c:ext>
          </c:extLst>
        </c:ser>
        <c:ser>
          <c:idx val="1"/>
          <c:order val="1"/>
          <c:tx>
            <c:v>Mdm30D</c:v>
          </c:tx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0.28519218074592545</c:v>
                </c:pt>
                <c:pt idx="1">
                  <c:v>0.28519218074592878</c:v>
                </c:pt>
              </c:numLit>
            </c:plus>
            <c:minus>
              <c:numLit>
                <c:formatCode>General</c:formatCode>
                <c:ptCount val="2"/>
                <c:pt idx="0">
                  <c:v>0.28519218074592545</c:v>
                </c:pt>
                <c:pt idx="1">
                  <c:v>0.28519218074592878</c:v>
                </c:pt>
              </c:numLit>
            </c:minus>
          </c:errBars>
          <c:cat>
            <c:strLit>
              <c:ptCount val="2"/>
              <c:pt idx="0">
                <c:v>Attached</c:v>
              </c:pt>
              <c:pt idx="1">
                <c:v>Detached</c:v>
              </c:pt>
            </c:strLit>
          </c:cat>
          <c:val>
            <c:numLit>
              <c:formatCode>General</c:formatCode>
              <c:ptCount val="2"/>
              <c:pt idx="0">
                <c:v>55.172076883772121</c:v>
              </c:pt>
              <c:pt idx="1">
                <c:v>44.827923116227879</c:v>
              </c:pt>
            </c:numLit>
          </c:val>
          <c:extLst>
            <c:ext xmlns:c16="http://schemas.microsoft.com/office/drawing/2014/chart" uri="{C3380CC4-5D6E-409C-BE32-E72D297353CC}">
              <c16:uniqueId val="{00000001-4716-034E-BC5E-ED921548E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838856"/>
        <c:axId val="-2090846904"/>
      </c:barChart>
      <c:catAx>
        <c:axId val="210983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lIns="0" anchor="ctr" anchorCtr="1">
            <a:noAutofit/>
          </a:bodyPr>
          <a:lstStyle/>
          <a:p>
            <a:pPr algn="ctr">
              <a:defRPr sz="1000" b="1" i="0" baseline="0">
                <a:latin typeface="Arial"/>
                <a:cs typeface="Arial"/>
              </a:defRPr>
            </a:pPr>
            <a:endParaRPr lang="en-DE"/>
          </a:p>
        </c:txPr>
        <c:crossAx val="-2090846904"/>
        <c:crosses val="autoZero"/>
        <c:auto val="0"/>
        <c:lblAlgn val="ctr"/>
        <c:lblOffset val="1"/>
        <c:noMultiLvlLbl val="0"/>
      </c:catAx>
      <c:valAx>
        <c:axId val="-209084690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83885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20581510505802"/>
          <c:y val="0.88736794701585198"/>
          <c:w val="0.60842032647579103"/>
          <c:h val="8.0546477976537106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3831045741655"/>
          <c:y val="3.184854954592449E-2"/>
          <c:w val="0.83823512481435891"/>
          <c:h val="0.91537497133246692"/>
        </c:manualLayout>
      </c:layout>
      <c:barChart>
        <c:barDir val="col"/>
        <c:grouping val="clustered"/>
        <c:varyColors val="0"/>
        <c:ser>
          <c:idx val="1"/>
          <c:order val="0"/>
          <c:tx>
            <c:v>Ole1D + Ole1 prom Cyc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0.49318030475155172</c:v>
                </c:pt>
              </c:numLit>
            </c:plus>
            <c:minus>
              <c:numLit>
                <c:formatCode>General</c:formatCode>
                <c:ptCount val="1"/>
                <c:pt idx="0">
                  <c:v>0.49318030475155172</c:v>
                </c:pt>
              </c:numLit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Lit>
              <c:ptCount val="1"/>
              <c:pt idx="0">
                <c:v>detachees</c:v>
              </c:pt>
            </c:strLit>
          </c:cat>
          <c:val>
            <c:numLit>
              <c:formatCode>General</c:formatCode>
              <c:ptCount val="1"/>
              <c:pt idx="0">
                <c:v>39.042334696417228</c:v>
              </c:pt>
            </c:numLit>
          </c:val>
          <c:extLst>
            <c:ext xmlns:c16="http://schemas.microsoft.com/office/drawing/2014/chart" uri="{C3380CC4-5D6E-409C-BE32-E72D297353CC}">
              <c16:uniqueId val="{00000000-4085-FF44-A03E-56F0C8A9E547}"/>
            </c:ext>
          </c:extLst>
        </c:ser>
        <c:ser>
          <c:idx val="0"/>
          <c:order val="1"/>
          <c:tx>
            <c:v>Ole1D + Ole1 prom Ole1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2.1156259146332226</c:v>
                </c:pt>
              </c:numLit>
            </c:plus>
            <c:minus>
              <c:numLit>
                <c:formatCode>General</c:formatCode>
                <c:ptCount val="1"/>
                <c:pt idx="0">
                  <c:v>2.1156259146332226</c:v>
                </c:pt>
              </c:numLit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Lit>
              <c:ptCount val="1"/>
              <c:pt idx="0">
                <c:v>detachees</c:v>
              </c:pt>
            </c:strLit>
          </c:cat>
          <c:val>
            <c:numLit>
              <c:formatCode>General</c:formatCode>
              <c:ptCount val="1"/>
              <c:pt idx="0">
                <c:v>48.612157477405709</c:v>
              </c:pt>
            </c:numLit>
          </c:val>
          <c:extLst>
            <c:ext xmlns:c16="http://schemas.microsoft.com/office/drawing/2014/chart" uri="{C3380CC4-5D6E-409C-BE32-E72D297353CC}">
              <c16:uniqueId val="{00000001-4085-FF44-A03E-56F0C8A9E547}"/>
            </c:ext>
          </c:extLst>
        </c:ser>
        <c:ser>
          <c:idx val="2"/>
          <c:order val="2"/>
          <c:tx>
            <c:v>Ole1D + Ole1 prom TEF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0.24534626266503015</c:v>
                </c:pt>
              </c:numLit>
            </c:plus>
            <c:minus>
              <c:numLit>
                <c:formatCode>General</c:formatCode>
                <c:ptCount val="1"/>
                <c:pt idx="0">
                  <c:v>0.24534626266503015</c:v>
                </c:pt>
              </c:numLit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Lit>
              <c:ptCount val="1"/>
              <c:pt idx="0">
                <c:v>detachees</c:v>
              </c:pt>
            </c:strLit>
          </c:cat>
          <c:val>
            <c:numLit>
              <c:formatCode>General</c:formatCode>
              <c:ptCount val="1"/>
              <c:pt idx="0">
                <c:v>58.587068080738966</c:v>
              </c:pt>
            </c:numLit>
          </c:val>
          <c:extLst>
            <c:ext xmlns:c16="http://schemas.microsoft.com/office/drawing/2014/chart" uri="{C3380CC4-5D6E-409C-BE32-E72D297353CC}">
              <c16:uniqueId val="{00000002-4085-FF44-A03E-56F0C8A9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55455"/>
        <c:axId val="80807599"/>
      </c:barChart>
      <c:catAx>
        <c:axId val="8305545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807599"/>
        <c:crosses val="autoZero"/>
        <c:auto val="1"/>
        <c:lblAlgn val="ctr"/>
        <c:lblOffset val="100"/>
        <c:noMultiLvlLbl val="0"/>
      </c:catAx>
      <c:valAx>
        <c:axId val="80807599"/>
        <c:scaling>
          <c:orientation val="minMax"/>
          <c:max val="1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3055455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07664153318747"/>
          <c:y val="8.6910744415601551E-2"/>
          <c:w val="0.7811137824832538"/>
          <c:h val="0.8584273457703355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7E30E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1.3617700452826966</c:v>
                </c:pt>
                <c:pt idx="1">
                  <c:v>1.3617700452826975</c:v>
                </c:pt>
              </c:numLit>
            </c:plus>
            <c:minus>
              <c:numLit>
                <c:formatCode>General</c:formatCode>
                <c:ptCount val="2"/>
                <c:pt idx="0">
                  <c:v>1.3617700452826966</c:v>
                </c:pt>
                <c:pt idx="1">
                  <c:v>1.3617700452826975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59.563758389261743</c:v>
              </c:pt>
              <c:pt idx="1">
                <c:v>40.436241610738257</c:v>
              </c:pt>
            </c:numLit>
          </c:val>
          <c:extLst>
            <c:ext xmlns:c16="http://schemas.microsoft.com/office/drawing/2014/chart" uri="{C3380CC4-5D6E-409C-BE32-E72D297353CC}">
              <c16:uniqueId val="{00000000-CD89-7948-990B-C6430108CCD5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0.37951758502826682</c:v>
                </c:pt>
                <c:pt idx="1">
                  <c:v>0.37951758502826866</c:v>
                </c:pt>
              </c:numLit>
            </c:plus>
            <c:minus>
              <c:numLit>
                <c:formatCode>General</c:formatCode>
                <c:ptCount val="2"/>
                <c:pt idx="0">
                  <c:v>0.37951758502826682</c:v>
                </c:pt>
                <c:pt idx="1">
                  <c:v>0.37951758502826866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58.941605839416056</c:v>
              </c:pt>
              <c:pt idx="1">
                <c:v>41.058394160583944</c:v>
              </c:pt>
            </c:numLit>
          </c:val>
          <c:extLst>
            <c:ext xmlns:c16="http://schemas.microsoft.com/office/drawing/2014/chart" uri="{C3380CC4-5D6E-409C-BE32-E72D297353CC}">
              <c16:uniqueId val="{00000001-CD89-7948-990B-C6430108CCD5}"/>
            </c:ext>
          </c:extLst>
        </c:ser>
        <c:ser>
          <c:idx val="2"/>
          <c:order val="2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1.3325219800230559</c:v>
                </c:pt>
                <c:pt idx="1">
                  <c:v>1.3325219800230579</c:v>
                </c:pt>
              </c:numLit>
            </c:plus>
            <c:minus>
              <c:numLit>
                <c:formatCode>General</c:formatCode>
                <c:ptCount val="2"/>
                <c:pt idx="0">
                  <c:v>1.3325219800230559</c:v>
                </c:pt>
                <c:pt idx="1">
                  <c:v>1.3325219800230579</c:v>
                </c:pt>
              </c:numLit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57.638888888888886</c:v>
              </c:pt>
              <c:pt idx="1">
                <c:v>42.361111111111107</c:v>
              </c:pt>
            </c:numLit>
          </c:val>
          <c:extLst>
            <c:ext xmlns:c16="http://schemas.microsoft.com/office/drawing/2014/chart" uri="{C3380CC4-5D6E-409C-BE32-E72D297353CC}">
              <c16:uniqueId val="{00000002-CD89-7948-990B-C6430108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3055455"/>
        <c:axId val="80807599"/>
      </c:barChart>
      <c:catAx>
        <c:axId val="8305545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807599"/>
        <c:crosses val="autoZero"/>
        <c:auto val="1"/>
        <c:lblAlgn val="ctr"/>
        <c:lblOffset val="100"/>
        <c:noMultiLvlLbl val="0"/>
      </c:catAx>
      <c:valAx>
        <c:axId val="8080759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83055455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Tubulaires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4.6208211189764432</c:v>
                </c:pt>
                <c:pt idx="1">
                  <c:v>1.8326671052141714</c:v>
                </c:pt>
              </c:numLit>
            </c:plus>
            <c:minus>
              <c:numLit>
                <c:formatCode>General</c:formatCode>
                <c:ptCount val="2"/>
                <c:pt idx="0">
                  <c:v>4.6208211189764432</c:v>
                </c:pt>
                <c:pt idx="1">
                  <c:v>1.8326671052141714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WT</c:v>
              </c:pt>
              <c:pt idx="1">
                <c:v>MLS1</c:v>
              </c:pt>
            </c:strLit>
          </c:cat>
          <c:val>
            <c:numLit>
              <c:formatCode>General</c:formatCode>
              <c:ptCount val="2"/>
              <c:pt idx="0">
                <c:v>74.166666666666671</c:v>
              </c:pt>
              <c:pt idx="1">
                <c:v>13.583815028901732</c:v>
              </c:pt>
            </c:numLit>
          </c:val>
          <c:extLst>
            <c:ext xmlns:c16="http://schemas.microsoft.com/office/drawing/2014/chart" uri="{C3380CC4-5D6E-409C-BE32-E72D297353CC}">
              <c16:uniqueId val="{00000000-AB77-6E46-B143-28145B15A088}"/>
            </c:ext>
          </c:extLst>
        </c:ser>
        <c:ser>
          <c:idx val="1"/>
          <c:order val="1"/>
          <c:tx>
            <c:v>Fragmentées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4.8329296401555686</c:v>
                </c:pt>
                <c:pt idx="1">
                  <c:v>2.7321545832053267</c:v>
                </c:pt>
              </c:numLit>
            </c:plus>
            <c:minus>
              <c:numLit>
                <c:formatCode>General</c:formatCode>
                <c:ptCount val="2"/>
                <c:pt idx="0">
                  <c:v>4.8329296401555686</c:v>
                </c:pt>
                <c:pt idx="1">
                  <c:v>2.7321545832053267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WT</c:v>
              </c:pt>
              <c:pt idx="1">
                <c:v>MLS1</c:v>
              </c:pt>
            </c:strLit>
          </c:cat>
          <c:val>
            <c:numLit>
              <c:formatCode>General</c:formatCode>
              <c:ptCount val="2"/>
              <c:pt idx="0">
                <c:v>23.333333333333332</c:v>
              </c:pt>
              <c:pt idx="1">
                <c:v>65.028901734104039</c:v>
              </c:pt>
            </c:numLit>
          </c:val>
          <c:extLst>
            <c:ext xmlns:c16="http://schemas.microsoft.com/office/drawing/2014/chart" uri="{C3380CC4-5D6E-409C-BE32-E72D297353CC}">
              <c16:uniqueId val="{00000001-AB77-6E46-B143-28145B15A088}"/>
            </c:ext>
          </c:extLst>
        </c:ser>
        <c:ser>
          <c:idx val="2"/>
          <c:order val="2"/>
          <c:tx>
            <c:v>Agregées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0.27444588356505351</c:v>
                </c:pt>
                <c:pt idx="1">
                  <c:v>4.2278949407209048</c:v>
                </c:pt>
              </c:numLit>
            </c:plus>
            <c:minus>
              <c:numLit>
                <c:formatCode>General</c:formatCode>
                <c:ptCount val="2"/>
                <c:pt idx="0">
                  <c:v>0.27444588356505351</c:v>
                </c:pt>
                <c:pt idx="1">
                  <c:v>4.2278949407209048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WT</c:v>
              </c:pt>
              <c:pt idx="1">
                <c:v>MLS1</c:v>
              </c:pt>
            </c:strLit>
          </c:cat>
          <c:val>
            <c:numLit>
              <c:formatCode>General</c:formatCode>
              <c:ptCount val="2"/>
              <c:pt idx="0">
                <c:v>2.5</c:v>
              </c:pt>
              <c:pt idx="1">
                <c:v>21.387283236994222</c:v>
              </c:pt>
            </c:numLit>
          </c:val>
          <c:extLst>
            <c:ext xmlns:c16="http://schemas.microsoft.com/office/drawing/2014/chart" uri="{C3380CC4-5D6E-409C-BE32-E72D297353CC}">
              <c16:uniqueId val="{00000002-AB77-6E46-B143-28145B15A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4865199"/>
        <c:axId val="1129604831"/>
      </c:barChart>
      <c:catAx>
        <c:axId val="103486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129604831"/>
        <c:crosses val="autoZero"/>
        <c:auto val="1"/>
        <c:lblAlgn val="ctr"/>
        <c:lblOffset val="100"/>
        <c:noMultiLvlLbl val="0"/>
      </c:catAx>
      <c:valAx>
        <c:axId val="1129604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03486519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Tubulaires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6.2260968515697881</c:v>
                </c:pt>
                <c:pt idx="1">
                  <c:v>2.2588249992301623</c:v>
                </c:pt>
              </c:numLit>
            </c:plus>
            <c:minus>
              <c:numLit>
                <c:formatCode>General</c:formatCode>
                <c:ptCount val="2"/>
                <c:pt idx="0">
                  <c:v>6.2260968515697881</c:v>
                </c:pt>
                <c:pt idx="1">
                  <c:v>2.2588249992301623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75.853018372703403</c:v>
              </c:pt>
              <c:pt idx="1">
                <c:v>40.921409214092144</c:v>
              </c:pt>
            </c:numLit>
          </c:val>
          <c:extLst>
            <c:ext xmlns:c16="http://schemas.microsoft.com/office/drawing/2014/chart" uri="{C3380CC4-5D6E-409C-BE32-E72D297353CC}">
              <c16:uniqueId val="{00000000-8CB2-3D41-BE2B-85F14A6AB2C1}"/>
            </c:ext>
          </c:extLst>
        </c:ser>
        <c:ser>
          <c:idx val="1"/>
          <c:order val="1"/>
          <c:tx>
            <c:v>Fragmentées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5.5964668947764435</c:v>
                </c:pt>
                <c:pt idx="1">
                  <c:v>2.898912333308731</c:v>
                </c:pt>
              </c:numLit>
            </c:plus>
            <c:minus>
              <c:numLit>
                <c:formatCode>General</c:formatCode>
                <c:ptCount val="2"/>
                <c:pt idx="0">
                  <c:v>5.5964668947764435</c:v>
                </c:pt>
                <c:pt idx="1">
                  <c:v>2.898912333308731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22.047244094488189</c:v>
              </c:pt>
              <c:pt idx="1">
                <c:v>49.322493224932245</c:v>
              </c:pt>
            </c:numLit>
          </c:val>
          <c:extLst>
            <c:ext xmlns:c16="http://schemas.microsoft.com/office/drawing/2014/chart" uri="{C3380CC4-5D6E-409C-BE32-E72D297353CC}">
              <c16:uniqueId val="{00000001-8CB2-3D41-BE2B-85F14A6AB2C1}"/>
            </c:ext>
          </c:extLst>
        </c:ser>
        <c:ser>
          <c:idx val="2"/>
          <c:order val="2"/>
          <c:tx>
            <c:v>Agregées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1.2231240746806955</c:v>
                </c:pt>
                <c:pt idx="1">
                  <c:v>5.1192778216871195</c:v>
                </c:pt>
              </c:numLit>
            </c:plus>
            <c:minus>
              <c:numLit>
                <c:formatCode>General</c:formatCode>
                <c:ptCount val="2"/>
                <c:pt idx="0">
                  <c:v>1.2231240746806955</c:v>
                </c:pt>
                <c:pt idx="1">
                  <c:v>5.1192778216871195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2.0997375328083989</c:v>
              </c:pt>
              <c:pt idx="1">
                <c:v>9.7560975609756095</c:v>
              </c:pt>
            </c:numLit>
          </c:val>
          <c:extLst>
            <c:ext xmlns:c16="http://schemas.microsoft.com/office/drawing/2014/chart" uri="{C3380CC4-5D6E-409C-BE32-E72D297353CC}">
              <c16:uniqueId val="{00000002-8CB2-3D41-BE2B-85F14A6AB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4865199"/>
        <c:axId val="1129604831"/>
      </c:barChart>
      <c:catAx>
        <c:axId val="103486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129604831"/>
        <c:crosses val="autoZero"/>
        <c:auto val="1"/>
        <c:lblAlgn val="ctr"/>
        <c:lblOffset val="100"/>
        <c:noMultiLvlLbl val="0"/>
      </c:catAx>
      <c:valAx>
        <c:axId val="112960483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03486519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Tubulaires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2.8737031123812984</c:v>
                </c:pt>
                <c:pt idx="1">
                  <c:v>2.7150437926062785</c:v>
                </c:pt>
              </c:numLit>
            </c:plus>
            <c:minus>
              <c:numLit>
                <c:formatCode>General</c:formatCode>
                <c:ptCount val="2"/>
                <c:pt idx="0">
                  <c:v>2.8737031123812984</c:v>
                </c:pt>
                <c:pt idx="1">
                  <c:v>2.7150437926062785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44.117647058823536</c:v>
              </c:pt>
              <c:pt idx="1">
                <c:v>41.72043010752688</c:v>
              </c:pt>
            </c:numLit>
          </c:val>
          <c:extLst>
            <c:ext xmlns:c16="http://schemas.microsoft.com/office/drawing/2014/chart" uri="{C3380CC4-5D6E-409C-BE32-E72D297353CC}">
              <c16:uniqueId val="{00000000-FBAF-554E-B14A-7CAC92E714A4}"/>
            </c:ext>
          </c:extLst>
        </c:ser>
        <c:ser>
          <c:idx val="1"/>
          <c:order val="1"/>
          <c:tx>
            <c:v>Fragmentées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1.3603351209640679</c:v>
                </c:pt>
                <c:pt idx="1">
                  <c:v>4.1745489969333818</c:v>
                </c:pt>
              </c:numLit>
            </c:plus>
            <c:minus>
              <c:numLit>
                <c:formatCode>General</c:formatCode>
                <c:ptCount val="2"/>
                <c:pt idx="0">
                  <c:v>1.3603351209640679</c:v>
                </c:pt>
                <c:pt idx="1">
                  <c:v>4.1745489969333818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52.310924369747902</c:v>
              </c:pt>
              <c:pt idx="1">
                <c:v>53.548387096774185</c:v>
              </c:pt>
            </c:numLit>
          </c:val>
          <c:extLst>
            <c:ext xmlns:c16="http://schemas.microsoft.com/office/drawing/2014/chart" uri="{C3380CC4-5D6E-409C-BE32-E72D297353CC}">
              <c16:uniqueId val="{00000001-FBAF-554E-B14A-7CAC92E714A4}"/>
            </c:ext>
          </c:extLst>
        </c:ser>
        <c:ser>
          <c:idx val="2"/>
          <c:order val="2"/>
          <c:tx>
            <c:v>Agregées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2.2985648431538941</c:v>
                </c:pt>
                <c:pt idx="1">
                  <c:v>1.5578859062910884</c:v>
                </c:pt>
              </c:numLit>
            </c:plus>
            <c:minus>
              <c:numLit>
                <c:formatCode>General</c:formatCode>
                <c:ptCount val="2"/>
                <c:pt idx="0">
                  <c:v>2.2985648431538941</c:v>
                </c:pt>
                <c:pt idx="1">
                  <c:v>1.5578859062910884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Lit>
              <c:formatCode>General</c:formatCode>
              <c:ptCount val="2"/>
              <c:pt idx="0">
                <c:v>3.5714285714285721</c:v>
              </c:pt>
              <c:pt idx="1">
                <c:v>4.7311827956989241</c:v>
              </c:pt>
            </c:numLit>
          </c:val>
          <c:extLst>
            <c:ext xmlns:c16="http://schemas.microsoft.com/office/drawing/2014/chart" uri="{C3380CC4-5D6E-409C-BE32-E72D297353CC}">
              <c16:uniqueId val="{00000002-FBAF-554E-B14A-7CAC92E71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4865199"/>
        <c:axId val="1129604831"/>
      </c:barChart>
      <c:catAx>
        <c:axId val="103486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129604831"/>
        <c:crosses val="autoZero"/>
        <c:auto val="1"/>
        <c:lblAlgn val="ctr"/>
        <c:lblOffset val="100"/>
        <c:noMultiLvlLbl val="0"/>
      </c:catAx>
      <c:valAx>
        <c:axId val="112960483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03486519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Tubulaires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4.097326498963441</c:v>
                </c:pt>
                <c:pt idx="1">
                  <c:v>0.57462268293388741</c:v>
                </c:pt>
                <c:pt idx="2">
                  <c:v>3.782216041187318</c:v>
                </c:pt>
                <c:pt idx="3">
                  <c:v>4.7176556818548843</c:v>
                </c:pt>
              </c:numLit>
            </c:plus>
            <c:minus>
              <c:numLit>
                <c:formatCode>General</c:formatCode>
                <c:ptCount val="4"/>
                <c:pt idx="0">
                  <c:v>4.097326498963441</c:v>
                </c:pt>
                <c:pt idx="1">
                  <c:v>0.57462268293388741</c:v>
                </c:pt>
                <c:pt idx="2">
                  <c:v>3.782216041187318</c:v>
                </c:pt>
                <c:pt idx="3">
                  <c:v>4.7176556818548843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4"/>
              <c:pt idx="0">
                <c:v>Moyenne Shuffle OLe1 WT</c:v>
              </c:pt>
              <c:pt idx="1">
                <c:v>Moyenne MLS1D</c:v>
              </c:pt>
              <c:pt idx="2">
                <c:v>Moyenne ICL1D</c:v>
              </c:pt>
              <c:pt idx="3">
                <c:v>Moyenne MLS1DICL1D</c:v>
              </c:pt>
            </c:strLit>
          </c:cat>
          <c:val>
            <c:numLit>
              <c:formatCode>General</c:formatCode>
              <c:ptCount val="4"/>
              <c:pt idx="0">
                <c:v>60.093896713615038</c:v>
              </c:pt>
              <c:pt idx="1">
                <c:v>21.460176991150444</c:v>
              </c:pt>
              <c:pt idx="2">
                <c:v>57.922077922077918</c:v>
              </c:pt>
              <c:pt idx="3">
                <c:v>64.170040485829972</c:v>
              </c:pt>
            </c:numLit>
          </c:val>
          <c:extLst>
            <c:ext xmlns:c16="http://schemas.microsoft.com/office/drawing/2014/chart" uri="{C3380CC4-5D6E-409C-BE32-E72D297353CC}">
              <c16:uniqueId val="{00000000-C808-F64C-96C4-49B70BBA7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003632"/>
        <c:axId val="304144736"/>
      </c:barChart>
      <c:catAx>
        <c:axId val="56400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4144736"/>
        <c:crosses val="autoZero"/>
        <c:auto val="1"/>
        <c:lblAlgn val="ctr"/>
        <c:lblOffset val="100"/>
        <c:noMultiLvlLbl val="0"/>
      </c:catAx>
      <c:valAx>
        <c:axId val="304144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564003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>
        <c:manualLayout>
          <c:layoutTarget val="inner"/>
          <c:xMode val="edge"/>
          <c:yMode val="edge"/>
          <c:x val="0.16234651851050511"/>
          <c:y val="0.19164238807743272"/>
          <c:w val="0.77812970876187104"/>
          <c:h val="0.70255103858624002"/>
        </c:manualLayout>
      </c:layout>
      <c:barChart>
        <c:barDir val="col"/>
        <c:grouping val="clustered"/>
        <c:varyColors val="0"/>
        <c:ser>
          <c:idx val="0"/>
          <c:order val="0"/>
          <c:tx>
            <c:v>Tubulaires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3.3874473770014135</c:v>
                </c:pt>
                <c:pt idx="1">
                  <c:v>1.9379495775075737</c:v>
                </c:pt>
                <c:pt idx="2">
                  <c:v>2.2047199254521215</c:v>
                </c:pt>
                <c:pt idx="3">
                  <c:v>4.0599290908371684</c:v>
                </c:pt>
              </c:numLit>
            </c:plus>
            <c:minus>
              <c:numLit>
                <c:formatCode>General</c:formatCode>
                <c:ptCount val="4"/>
                <c:pt idx="0">
                  <c:v>3.3874473770014135</c:v>
                </c:pt>
                <c:pt idx="1">
                  <c:v>1.9379495775075737</c:v>
                </c:pt>
                <c:pt idx="2">
                  <c:v>2.2047199254521215</c:v>
                </c:pt>
                <c:pt idx="3">
                  <c:v>4.0599290908371684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4"/>
              <c:pt idx="0">
                <c:v>Moyenne Shuffle OLe1 WT</c:v>
              </c:pt>
              <c:pt idx="1">
                <c:v>Moyenne MLS1D</c:v>
              </c:pt>
              <c:pt idx="2">
                <c:v>Moyenne ICL1D</c:v>
              </c:pt>
              <c:pt idx="3">
                <c:v>Moyenne MLS1DICL1D</c:v>
              </c:pt>
            </c:strLit>
          </c:cat>
          <c:val>
            <c:numLit>
              <c:formatCode>General</c:formatCode>
              <c:ptCount val="4"/>
              <c:pt idx="0">
                <c:v>77.688172043010752</c:v>
              </c:pt>
              <c:pt idx="1">
                <c:v>63.023255813953497</c:v>
              </c:pt>
              <c:pt idx="2">
                <c:v>73.350923482849609</c:v>
              </c:pt>
              <c:pt idx="3">
                <c:v>72.797927461139892</c:v>
              </c:pt>
            </c:numLit>
          </c:val>
          <c:extLst>
            <c:ext xmlns:c16="http://schemas.microsoft.com/office/drawing/2014/chart" uri="{C3380CC4-5D6E-409C-BE32-E72D297353CC}">
              <c16:uniqueId val="{00000000-5B53-DA4C-931F-4C6B74AD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003632"/>
        <c:axId val="304144736"/>
      </c:barChart>
      <c:catAx>
        <c:axId val="56400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4144736"/>
        <c:crosses val="autoZero"/>
        <c:auto val="1"/>
        <c:lblAlgn val="ctr"/>
        <c:lblOffset val="100"/>
        <c:noMultiLvlLbl val="0"/>
      </c:catAx>
      <c:valAx>
        <c:axId val="304144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564003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Tubulaires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0.72209211553474029</c:v>
                </c:pt>
                <c:pt idx="1">
                  <c:v>0.35460992907801386</c:v>
                </c:pt>
                <c:pt idx="2">
                  <c:v>3.7432484360831242</c:v>
                </c:pt>
                <c:pt idx="3">
                  <c:v>3.1999444012765679</c:v>
                </c:pt>
              </c:numLit>
            </c:plus>
            <c:minus>
              <c:numLit>
                <c:formatCode>General</c:formatCode>
                <c:ptCount val="4"/>
                <c:pt idx="0">
                  <c:v>0.72209211553474029</c:v>
                </c:pt>
                <c:pt idx="1">
                  <c:v>0.35460992907801386</c:v>
                </c:pt>
                <c:pt idx="2">
                  <c:v>3.7432484360831242</c:v>
                </c:pt>
                <c:pt idx="3">
                  <c:v>3.1999444012765679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4"/>
              <c:pt idx="0">
                <c:v>Moyenne Shuffle OLe1 WT</c:v>
              </c:pt>
              <c:pt idx="1">
                <c:v>Moyenne MLS1D</c:v>
              </c:pt>
              <c:pt idx="2">
                <c:v>Moyenne ICL1D</c:v>
              </c:pt>
              <c:pt idx="3">
                <c:v>Moyenne MLS1DICL1D</c:v>
              </c:pt>
            </c:strLit>
          </c:cat>
          <c:val>
            <c:numLit>
              <c:formatCode>General</c:formatCode>
              <c:ptCount val="4"/>
              <c:pt idx="0">
                <c:v>47.209302325581397</c:v>
              </c:pt>
              <c:pt idx="1">
                <c:v>49.684210526315795</c:v>
              </c:pt>
              <c:pt idx="2">
                <c:v>49.25</c:v>
              </c:pt>
              <c:pt idx="3">
                <c:v>47.834645669291341</c:v>
              </c:pt>
            </c:numLit>
          </c:val>
          <c:extLst>
            <c:ext xmlns:c16="http://schemas.microsoft.com/office/drawing/2014/chart" uri="{C3380CC4-5D6E-409C-BE32-E72D297353CC}">
              <c16:uniqueId val="{00000000-4018-1046-B9DF-12F06B128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003632"/>
        <c:axId val="304144736"/>
      </c:barChart>
      <c:catAx>
        <c:axId val="56400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4144736"/>
        <c:crosses val="autoZero"/>
        <c:auto val="1"/>
        <c:lblAlgn val="ctr"/>
        <c:lblOffset val="100"/>
        <c:noMultiLvlLbl val="0"/>
      </c:catAx>
      <c:valAx>
        <c:axId val="304144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564003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2175350824833E-2"/>
          <c:y val="9.821944670709265E-2"/>
          <c:w val="0.71739153258016664"/>
          <c:h val="0.80776540863426571"/>
        </c:manualLayout>
      </c:layout>
      <c:barChart>
        <c:barDir val="col"/>
        <c:grouping val="clustered"/>
        <c:varyColors val="0"/>
        <c:ser>
          <c:idx val="0"/>
          <c:order val="0"/>
          <c:tx>
            <c:v>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2.3840919883960847</c:v>
                </c:pt>
                <c:pt idx="1">
                  <c:v>3.4244130671859625</c:v>
                </c:pt>
                <c:pt idx="2">
                  <c:v>2.7867268114718295</c:v>
                </c:pt>
              </c:numLit>
            </c:plus>
            <c:minus>
              <c:numLit>
                <c:formatCode>General</c:formatCode>
                <c:ptCount val="3"/>
                <c:pt idx="0">
                  <c:v>2.3840919883960847</c:v>
                </c:pt>
                <c:pt idx="1">
                  <c:v>3.4244130671859625</c:v>
                </c:pt>
                <c:pt idx="2">
                  <c:v>2.7867268114718295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CYC</c:v>
              </c:pt>
              <c:pt idx="1">
                <c:v>WT</c:v>
              </c:pt>
              <c:pt idx="2">
                <c:v>TEF</c:v>
              </c:pt>
            </c:strLit>
          </c:cat>
          <c:val>
            <c:numLit>
              <c:formatCode>General</c:formatCode>
              <c:ptCount val="3"/>
              <c:pt idx="0">
                <c:v>40.869479708114085</c:v>
              </c:pt>
              <c:pt idx="1">
                <c:v>42.763691683569981</c:v>
              </c:pt>
              <c:pt idx="2">
                <c:v>48.404613294741239</c:v>
              </c:pt>
            </c:numLit>
          </c:val>
          <c:extLst>
            <c:ext xmlns:c16="http://schemas.microsoft.com/office/drawing/2014/chart" uri="{C3380CC4-5D6E-409C-BE32-E72D297353CC}">
              <c16:uniqueId val="{00000000-25E2-A242-9B47-DAF9E219316D}"/>
            </c:ext>
          </c:extLst>
        </c:ser>
        <c:ser>
          <c:idx val="1"/>
          <c:order val="1"/>
          <c:tx>
            <c:v>Ketoglutarate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3.6167152866803027</c:v>
                </c:pt>
                <c:pt idx="1">
                  <c:v>0.65821624396294354</c:v>
                </c:pt>
                <c:pt idx="2">
                  <c:v>2.0843805539897575</c:v>
                </c:pt>
              </c:numLit>
            </c:plus>
            <c:minus>
              <c:numLit>
                <c:formatCode>General</c:formatCode>
                <c:ptCount val="3"/>
                <c:pt idx="0">
                  <c:v>3.6167152866803027</c:v>
                </c:pt>
                <c:pt idx="1">
                  <c:v>0.65821624396294354</c:v>
                </c:pt>
                <c:pt idx="2">
                  <c:v>2.0843805539897575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CYC</c:v>
              </c:pt>
              <c:pt idx="1">
                <c:v>WT</c:v>
              </c:pt>
              <c:pt idx="2">
                <c:v>TEF</c:v>
              </c:pt>
            </c:strLit>
          </c:cat>
          <c:val>
            <c:numLit>
              <c:formatCode>General</c:formatCode>
              <c:ptCount val="3"/>
              <c:pt idx="0">
                <c:v>57.458197797180844</c:v>
              </c:pt>
              <c:pt idx="1">
                <c:v>61.311124098967468</c:v>
              </c:pt>
              <c:pt idx="2">
                <c:v>57.501926089197063</c:v>
              </c:pt>
            </c:numLit>
          </c:val>
          <c:extLst>
            <c:ext xmlns:c16="http://schemas.microsoft.com/office/drawing/2014/chart" uri="{C3380CC4-5D6E-409C-BE32-E72D297353CC}">
              <c16:uniqueId val="{00000001-25E2-A242-9B47-DAF9E219316D}"/>
            </c:ext>
          </c:extLst>
        </c:ser>
        <c:ser>
          <c:idx val="2"/>
          <c:order val="2"/>
          <c:tx>
            <c:v>Citrate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2.0490597868931846</c:v>
                </c:pt>
                <c:pt idx="1">
                  <c:v>3.5580724833324253</c:v>
                </c:pt>
                <c:pt idx="2">
                  <c:v>1.0525522921334409</c:v>
                </c:pt>
              </c:numLit>
            </c:plus>
            <c:minus>
              <c:numLit>
                <c:formatCode>General</c:formatCode>
                <c:ptCount val="3"/>
                <c:pt idx="0">
                  <c:v>2.0490597868931846</c:v>
                </c:pt>
                <c:pt idx="1">
                  <c:v>3.5580724833324253</c:v>
                </c:pt>
                <c:pt idx="2">
                  <c:v>1.0525522921334409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CYC</c:v>
              </c:pt>
              <c:pt idx="1">
                <c:v>WT</c:v>
              </c:pt>
              <c:pt idx="2">
                <c:v>TEF</c:v>
              </c:pt>
            </c:strLit>
          </c:cat>
          <c:val>
            <c:numLit>
              <c:formatCode>General</c:formatCode>
              <c:ptCount val="3"/>
              <c:pt idx="0">
                <c:v>57.749512076936327</c:v>
              </c:pt>
              <c:pt idx="1">
                <c:v>63.721214398258859</c:v>
              </c:pt>
              <c:pt idx="2">
                <c:v>62.077019886492792</c:v>
              </c:pt>
            </c:numLit>
          </c:val>
          <c:extLst>
            <c:ext xmlns:c16="http://schemas.microsoft.com/office/drawing/2014/chart" uri="{C3380CC4-5D6E-409C-BE32-E72D297353CC}">
              <c16:uniqueId val="{00000002-25E2-A242-9B47-DAF9E219316D}"/>
            </c:ext>
          </c:extLst>
        </c:ser>
        <c:ser>
          <c:idx val="3"/>
          <c:order val="3"/>
          <c:tx>
            <c:v>Glutamate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1.7041343408431142</c:v>
                </c:pt>
                <c:pt idx="1">
                  <c:v>2.7609556800052557</c:v>
                </c:pt>
                <c:pt idx="2">
                  <c:v>3.1570550834692535</c:v>
                </c:pt>
              </c:numLit>
            </c:plus>
            <c:minus>
              <c:numLit>
                <c:formatCode>General</c:formatCode>
                <c:ptCount val="3"/>
                <c:pt idx="0">
                  <c:v>1.7041343408431142</c:v>
                </c:pt>
                <c:pt idx="1">
                  <c:v>2.7609556800052557</c:v>
                </c:pt>
                <c:pt idx="2">
                  <c:v>3.1570550834692535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CYC</c:v>
              </c:pt>
              <c:pt idx="1">
                <c:v>WT</c:v>
              </c:pt>
              <c:pt idx="2">
                <c:v>TEF</c:v>
              </c:pt>
            </c:strLit>
          </c:cat>
          <c:val>
            <c:numLit>
              <c:formatCode>General</c:formatCode>
              <c:ptCount val="3"/>
              <c:pt idx="0">
                <c:v>63.522162591930034</c:v>
              </c:pt>
              <c:pt idx="1">
                <c:v>67.068834968163827</c:v>
              </c:pt>
              <c:pt idx="2">
                <c:v>62.345330141162002</c:v>
              </c:pt>
            </c:numLit>
          </c:val>
          <c:extLst>
            <c:ext xmlns:c16="http://schemas.microsoft.com/office/drawing/2014/chart" uri="{C3380CC4-5D6E-409C-BE32-E72D297353CC}">
              <c16:uniqueId val="{00000003-25E2-A242-9B47-DAF9E2193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891247"/>
        <c:axId val="650835247"/>
      </c:barChart>
      <c:catAx>
        <c:axId val="57689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650835247"/>
        <c:crosses val="autoZero"/>
        <c:auto val="1"/>
        <c:lblAlgn val="ctr"/>
        <c:lblOffset val="100"/>
        <c:noMultiLvlLbl val="0"/>
      </c:catAx>
      <c:valAx>
        <c:axId val="65083524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576891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64299897295447"/>
          <c:y val="0.36322076761681388"/>
          <c:w val="0.1961787059226292"/>
          <c:h val="0.34650647392480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WT Non-Treated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6.1668353803339819</c:v>
                </c:pt>
                <c:pt idx="1">
                  <c:v>3.6235480159565832</c:v>
                </c:pt>
                <c:pt idx="2">
                  <c:v>5.1737923591288606</c:v>
                </c:pt>
              </c:numLit>
            </c:plus>
            <c:minus>
              <c:numLit>
                <c:formatCode>General</c:formatCode>
                <c:ptCount val="3"/>
                <c:pt idx="0">
                  <c:v>6.1668353803339819</c:v>
                </c:pt>
                <c:pt idx="1">
                  <c:v>3.6235480159565832</c:v>
                </c:pt>
                <c:pt idx="2">
                  <c:v>5.1737923591288606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CYC</c:v>
              </c:pt>
              <c:pt idx="1">
                <c:v>WT</c:v>
              </c:pt>
              <c:pt idx="2">
                <c:v>TEF</c:v>
              </c:pt>
            </c:strLit>
          </c:cat>
          <c:val>
            <c:numLit>
              <c:formatCode>General</c:formatCode>
              <c:ptCount val="3"/>
              <c:pt idx="0">
                <c:v>92.657815047752152</c:v>
              </c:pt>
              <c:pt idx="1">
                <c:v>97.10291207237772</c:v>
              </c:pt>
              <c:pt idx="2">
                <c:v>93.071683249415798</c:v>
              </c:pt>
            </c:numLit>
          </c:val>
          <c:extLst>
            <c:ext xmlns:c16="http://schemas.microsoft.com/office/drawing/2014/chart" uri="{C3380CC4-5D6E-409C-BE32-E72D297353CC}">
              <c16:uniqueId val="{00000000-B521-6647-8E94-8E1B06AF84E2}"/>
            </c:ext>
          </c:extLst>
        </c:ser>
        <c:ser>
          <c:idx val="2"/>
          <c:order val="1"/>
          <c:tx>
            <c:v>cit2D Non-Treated</c:v>
          </c:tx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3.8620019437021691</c:v>
                </c:pt>
                <c:pt idx="1">
                  <c:v>6.1457920876621719</c:v>
                </c:pt>
                <c:pt idx="2">
                  <c:v>2.9428711755568893</c:v>
                </c:pt>
              </c:numLit>
            </c:plus>
            <c:minus>
              <c:numLit>
                <c:formatCode>General</c:formatCode>
                <c:ptCount val="3"/>
                <c:pt idx="0">
                  <c:v>3.8620019437021691</c:v>
                </c:pt>
                <c:pt idx="1">
                  <c:v>6.1457920876621719</c:v>
                </c:pt>
                <c:pt idx="2">
                  <c:v>2.9428711755568893</c:v>
                </c:pt>
              </c:numLit>
            </c:minus>
          </c:errBars>
          <c:val>
            <c:numLit>
              <c:formatCode>General</c:formatCode>
              <c:ptCount val="3"/>
              <c:pt idx="0">
                <c:v>74.670016516621303</c:v>
              </c:pt>
              <c:pt idx="1">
                <c:v>82.57092391998124</c:v>
              </c:pt>
              <c:pt idx="2">
                <c:v>79.387862264574593</c:v>
              </c:pt>
            </c:numLit>
          </c:val>
          <c:extLst>
            <c:ext xmlns:c16="http://schemas.microsoft.com/office/drawing/2014/chart" uri="{C3380CC4-5D6E-409C-BE32-E72D297353CC}">
              <c16:uniqueId val="{00000001-B521-6647-8E94-8E1B06AF8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968192"/>
        <c:axId val="99754384"/>
      </c:barChart>
      <c:catAx>
        <c:axId val="20069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99754384"/>
        <c:crosses val="autoZero"/>
        <c:auto val="1"/>
        <c:lblAlgn val="ctr"/>
        <c:lblOffset val="100"/>
        <c:noMultiLvlLbl val="0"/>
      </c:catAx>
      <c:valAx>
        <c:axId val="99754384"/>
        <c:scaling>
          <c:orientation val="minMax"/>
          <c:max val="10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006968192"/>
        <c:crosses val="autoZero"/>
        <c:crossBetween val="between"/>
        <c:majorUnit val="10"/>
        <c:minorUnit val="5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04542034762474"/>
          <c:y val="4.3357922735943834E-2"/>
          <c:w val="0.73660789934655058"/>
          <c:h val="0.75510319546661098"/>
        </c:manualLayout>
      </c:layout>
      <c:barChart>
        <c:barDir val="col"/>
        <c:grouping val="clustered"/>
        <c:varyColors val="0"/>
        <c:ser>
          <c:idx val="0"/>
          <c:order val="0"/>
          <c:tx>
            <c:v>WT</c:v>
          </c:tx>
          <c:spPr>
            <a:solidFill>
              <a:schemeClr val="accent3"/>
            </a:solidFill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0.51778870298625868</c:v>
                </c:pt>
                <c:pt idx="1">
                  <c:v>0.51778870298625446</c:v>
                </c:pt>
              </c:numLit>
            </c:plus>
            <c:minus>
              <c:numLit>
                <c:formatCode>General</c:formatCode>
                <c:ptCount val="2"/>
                <c:pt idx="0">
                  <c:v>0.51778870298625868</c:v>
                </c:pt>
                <c:pt idx="1">
                  <c:v>0.51778870298625446</c:v>
                </c:pt>
              </c:numLit>
            </c:minus>
          </c:errBars>
          <c:cat>
            <c:strLit>
              <c:ptCount val="2"/>
              <c:pt idx="0">
                <c:v>Attached</c:v>
              </c:pt>
              <c:pt idx="1">
                <c:v>Detached</c:v>
              </c:pt>
            </c:strLit>
          </c:cat>
          <c:val>
            <c:numLit>
              <c:formatCode>General</c:formatCode>
              <c:ptCount val="2"/>
              <c:pt idx="0">
                <c:v>82.542885973763873</c:v>
              </c:pt>
              <c:pt idx="1">
                <c:v>17.457114026236127</c:v>
              </c:pt>
            </c:numLit>
          </c:val>
          <c:extLst>
            <c:ext xmlns:c16="http://schemas.microsoft.com/office/drawing/2014/chart" uri="{C3380CC4-5D6E-409C-BE32-E72D297353CC}">
              <c16:uniqueId val="{00000000-5777-6045-BE7E-2D96409CC277}"/>
            </c:ext>
          </c:extLst>
        </c:ser>
        <c:ser>
          <c:idx val="1"/>
          <c:order val="1"/>
          <c:tx>
            <c:v>Mdm30D</c:v>
          </c:tx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1.2150336747970216</c:v>
                </c:pt>
                <c:pt idx="1">
                  <c:v>1.215033674797019</c:v>
                </c:pt>
              </c:numLit>
            </c:plus>
            <c:minus>
              <c:numLit>
                <c:formatCode>General</c:formatCode>
                <c:ptCount val="2"/>
                <c:pt idx="0">
                  <c:v>1.2150336747970216</c:v>
                </c:pt>
                <c:pt idx="1">
                  <c:v>1.215033674797019</c:v>
                </c:pt>
              </c:numLit>
            </c:minus>
          </c:errBars>
          <c:cat>
            <c:strLit>
              <c:ptCount val="2"/>
              <c:pt idx="0">
                <c:v>Attached</c:v>
              </c:pt>
              <c:pt idx="1">
                <c:v>Detached</c:v>
              </c:pt>
            </c:strLit>
          </c:cat>
          <c:val>
            <c:numLit>
              <c:formatCode>General</c:formatCode>
              <c:ptCount val="2"/>
              <c:pt idx="0">
                <c:v>93.564862104187952</c:v>
              </c:pt>
              <c:pt idx="1">
                <c:v>6.4351378958120531</c:v>
              </c:pt>
            </c:numLit>
          </c:val>
          <c:extLst>
            <c:ext xmlns:c16="http://schemas.microsoft.com/office/drawing/2014/chart" uri="{C3380CC4-5D6E-409C-BE32-E72D297353CC}">
              <c16:uniqueId val="{00000001-5777-6045-BE7E-2D96409CC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838856"/>
        <c:axId val="-2090846904"/>
      </c:barChart>
      <c:catAx>
        <c:axId val="210983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lIns="0" anchor="ctr" anchorCtr="1">
            <a:noAutofit/>
          </a:bodyPr>
          <a:lstStyle/>
          <a:p>
            <a:pPr algn="ctr">
              <a:defRPr sz="1000" b="1" i="0" baseline="0">
                <a:latin typeface="Arial"/>
                <a:cs typeface="Arial"/>
              </a:defRPr>
            </a:pPr>
            <a:endParaRPr lang="en-DE"/>
          </a:p>
        </c:txPr>
        <c:crossAx val="-2090846904"/>
        <c:crosses val="autoZero"/>
        <c:auto val="0"/>
        <c:lblAlgn val="ctr"/>
        <c:lblOffset val="1"/>
        <c:noMultiLvlLbl val="0"/>
      </c:catAx>
      <c:valAx>
        <c:axId val="-209084690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83885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20581510505802"/>
          <c:y val="0.88736794701585198"/>
          <c:w val="0.60842032647579103"/>
          <c:h val="8.0546477976537106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WT Non-Treated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6.1668353803339819</c:v>
                </c:pt>
                <c:pt idx="1">
                  <c:v>3.6235480159565832</c:v>
                </c:pt>
                <c:pt idx="2">
                  <c:v>5.1737923591288606</c:v>
                </c:pt>
              </c:numLit>
            </c:plus>
            <c:minus>
              <c:numLit>
                <c:formatCode>General</c:formatCode>
                <c:ptCount val="3"/>
                <c:pt idx="0">
                  <c:v>6.1668353803339819</c:v>
                </c:pt>
                <c:pt idx="1">
                  <c:v>3.6235480159565832</c:v>
                </c:pt>
                <c:pt idx="2">
                  <c:v>5.1737923591288606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CYC</c:v>
              </c:pt>
              <c:pt idx="1">
                <c:v>WT</c:v>
              </c:pt>
              <c:pt idx="2">
                <c:v>TEF</c:v>
              </c:pt>
            </c:strLit>
          </c:cat>
          <c:val>
            <c:numLit>
              <c:formatCode>General</c:formatCode>
              <c:ptCount val="3"/>
              <c:pt idx="0">
                <c:v>79.180274781689903</c:v>
              </c:pt>
              <c:pt idx="1">
                <c:v>83.674133736051672</c:v>
              </c:pt>
              <c:pt idx="2">
                <c:v>79.548744146445301</c:v>
              </c:pt>
            </c:numLit>
          </c:val>
          <c:extLst>
            <c:ext xmlns:c16="http://schemas.microsoft.com/office/drawing/2014/chart" uri="{C3380CC4-5D6E-409C-BE32-E72D297353CC}">
              <c16:uniqueId val="{00000000-7E0A-D942-BEE0-DA413AB6AB06}"/>
            </c:ext>
          </c:extLst>
        </c:ser>
        <c:ser>
          <c:idx val="1"/>
          <c:order val="1"/>
          <c:tx>
            <c:v>MLS1D Non-Treated</c:v>
          </c:tx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1.8172235422816239</c:v>
                </c:pt>
                <c:pt idx="1">
                  <c:v>3.592935335969651</c:v>
                </c:pt>
                <c:pt idx="2">
                  <c:v>5.2479647437777066</c:v>
                </c:pt>
              </c:numLit>
            </c:plus>
            <c:minus>
              <c:numLit>
                <c:formatCode>General</c:formatCode>
                <c:ptCount val="3"/>
                <c:pt idx="0">
                  <c:v>1.8172235422816239</c:v>
                </c:pt>
                <c:pt idx="1">
                  <c:v>3.592935335969651</c:v>
                </c:pt>
                <c:pt idx="2">
                  <c:v>5.2479647437777066</c:v>
                </c:pt>
              </c:numLit>
            </c:minus>
          </c:errBars>
          <c:cat>
            <c:strLit>
              <c:ptCount val="3"/>
              <c:pt idx="0">
                <c:v>CYC</c:v>
              </c:pt>
              <c:pt idx="1">
                <c:v>WT</c:v>
              </c:pt>
              <c:pt idx="2">
                <c:v>TEF</c:v>
              </c:pt>
            </c:strLit>
          </c:cat>
          <c:val>
            <c:numLit>
              <c:formatCode>General</c:formatCode>
              <c:ptCount val="3"/>
              <c:pt idx="0">
                <c:v>39.870691892453024</c:v>
              </c:pt>
              <c:pt idx="1">
                <c:v>57.141405519652075</c:v>
              </c:pt>
              <c:pt idx="2">
                <c:v>75.095458758109359</c:v>
              </c:pt>
            </c:numLit>
          </c:val>
          <c:extLst>
            <c:ext xmlns:c16="http://schemas.microsoft.com/office/drawing/2014/chart" uri="{C3380CC4-5D6E-409C-BE32-E72D297353CC}">
              <c16:uniqueId val="{00000001-7E0A-D942-BEE0-DA413AB6A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968192"/>
        <c:axId val="99754384"/>
      </c:barChart>
      <c:catAx>
        <c:axId val="20069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99754384"/>
        <c:crosses val="autoZero"/>
        <c:auto val="1"/>
        <c:lblAlgn val="ctr"/>
        <c:lblOffset val="100"/>
        <c:noMultiLvlLbl val="0"/>
      </c:catAx>
      <c:valAx>
        <c:axId val="997543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006968192"/>
        <c:crosses val="autoZero"/>
        <c:crossBetween val="between"/>
        <c:majorUnit val="20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S2C!$D$16</c:f>
              <c:strCache>
                <c:ptCount val="1"/>
                <c:pt idx="0">
                  <c:v>% GFP (spe)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S2C!$A$17:$A$28</c:f>
              <c:strCache>
                <c:ptCount val="12"/>
                <c:pt idx="0">
                  <c:v>WT fzo GFP -</c:v>
                </c:pt>
                <c:pt idx="1">
                  <c:v>WT fzo GFP +</c:v>
                </c:pt>
                <c:pt idx="2">
                  <c:v>WT Pex3mcherry -</c:v>
                </c:pt>
                <c:pt idx="3">
                  <c:v>WT Pex3mcherry +</c:v>
                </c:pt>
                <c:pt idx="4">
                  <c:v>WT Triple -</c:v>
                </c:pt>
                <c:pt idx="5">
                  <c:v>WT Triple +</c:v>
                </c:pt>
                <c:pt idx="6">
                  <c:v>Delta Fzo GFP -</c:v>
                </c:pt>
                <c:pt idx="7">
                  <c:v>Delta Fzo GFP +</c:v>
                </c:pt>
                <c:pt idx="8">
                  <c:v>Delta Pex3mcherry -</c:v>
                </c:pt>
                <c:pt idx="9">
                  <c:v>Delta Pex3mcherry +</c:v>
                </c:pt>
                <c:pt idx="10">
                  <c:v>Delta Triple -</c:v>
                </c:pt>
                <c:pt idx="11">
                  <c:v>Delta Triple +</c:v>
                </c:pt>
              </c:strCache>
            </c:strRef>
          </c:cat>
          <c:val>
            <c:numRef>
              <c:f>S2C!$D$17:$D$28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30.952380952380953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F-4013-ADD4-774628387485}"/>
            </c:ext>
          </c:extLst>
        </c:ser>
        <c:ser>
          <c:idx val="1"/>
          <c:order val="1"/>
          <c:tx>
            <c:strRef>
              <c:f>S2C!$I$16</c:f>
              <c:strCache>
                <c:ptCount val="1"/>
                <c:pt idx="0">
                  <c:v>% RFP (Spe)</c:v>
                </c:pt>
              </c:strCache>
            </c:strRef>
          </c:tx>
          <c:invertIfNegative val="0"/>
          <c:val>
            <c:numRef>
              <c:f>S2C!$I$17:$I$28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92.631578947368425</c:v>
                </c:pt>
                <c:pt idx="3">
                  <c:v>94.117647058823522</c:v>
                </c:pt>
                <c:pt idx="4">
                  <c:v>100</c:v>
                </c:pt>
                <c:pt idx="5">
                  <c:v>96.039603960396036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89.719626168224295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F-4013-ADD4-774628387485}"/>
            </c:ext>
          </c:extLst>
        </c:ser>
        <c:ser>
          <c:idx val="2"/>
          <c:order val="2"/>
          <c:tx>
            <c:strRef>
              <c:f>S2C!$N$16</c:f>
              <c:strCache>
                <c:ptCount val="1"/>
                <c:pt idx="0">
                  <c:v>% BFP (Spe)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S2C!$N$17:$N$28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F-4013-ADD4-774628387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98400"/>
        <c:axId val="129012480"/>
      </c:barChart>
      <c:catAx>
        <c:axId val="12899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012480"/>
        <c:crosses val="autoZero"/>
        <c:auto val="1"/>
        <c:lblAlgn val="ctr"/>
        <c:lblOffset val="100"/>
        <c:noMultiLvlLbl val="0"/>
      </c:catAx>
      <c:valAx>
        <c:axId val="12901248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998400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09520791260397E-2"/>
          <c:y val="7.0388121589772867E-2"/>
          <c:w val="0.79038469751631169"/>
          <c:h val="0.61962513418444609"/>
        </c:manualLayout>
      </c:layout>
      <c:barChart>
        <c:barDir val="col"/>
        <c:grouping val="clustered"/>
        <c:varyColors val="0"/>
        <c:ser>
          <c:idx val="0"/>
          <c:order val="0"/>
          <c:tx>
            <c:v>GFP</c:v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S2C!$A$17:$A$28</c:f>
              <c:strCache>
                <c:ptCount val="12"/>
                <c:pt idx="0">
                  <c:v>WT fzo GFP -</c:v>
                </c:pt>
                <c:pt idx="1">
                  <c:v>WT fzo GFP +</c:v>
                </c:pt>
                <c:pt idx="2">
                  <c:v>WT Pex3mcherry -</c:v>
                </c:pt>
                <c:pt idx="3">
                  <c:v>WT Pex3mcherry +</c:v>
                </c:pt>
                <c:pt idx="4">
                  <c:v>WT Triple -</c:v>
                </c:pt>
                <c:pt idx="5">
                  <c:v>WT Triple +</c:v>
                </c:pt>
                <c:pt idx="6">
                  <c:v>Delta Fzo GFP -</c:v>
                </c:pt>
                <c:pt idx="7">
                  <c:v>Delta Fzo GFP +</c:v>
                </c:pt>
                <c:pt idx="8">
                  <c:v>Delta Pex3mcherry -</c:v>
                </c:pt>
                <c:pt idx="9">
                  <c:v>Delta Pex3mcherry +</c:v>
                </c:pt>
                <c:pt idx="10">
                  <c:v>Delta Triple -</c:v>
                </c:pt>
                <c:pt idx="11">
                  <c:v>Delta Triple +</c:v>
                </c:pt>
              </c:strCache>
            </c:strRef>
          </c:cat>
          <c:val>
            <c:numRef>
              <c:f>S2C!$D$17:$D$28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30.952380952380953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376-974B-6A9E57656242}"/>
            </c:ext>
          </c:extLst>
        </c:ser>
        <c:ser>
          <c:idx val="1"/>
          <c:order val="1"/>
          <c:tx>
            <c:v>RFP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S2C!$A$17:$A$28</c:f>
              <c:strCache>
                <c:ptCount val="12"/>
                <c:pt idx="0">
                  <c:v>WT fzo GFP -</c:v>
                </c:pt>
                <c:pt idx="1">
                  <c:v>WT fzo GFP +</c:v>
                </c:pt>
                <c:pt idx="2">
                  <c:v>WT Pex3mcherry -</c:v>
                </c:pt>
                <c:pt idx="3">
                  <c:v>WT Pex3mcherry +</c:v>
                </c:pt>
                <c:pt idx="4">
                  <c:v>WT Triple -</c:v>
                </c:pt>
                <c:pt idx="5">
                  <c:v>WT Triple +</c:v>
                </c:pt>
                <c:pt idx="6">
                  <c:v>Delta Fzo GFP -</c:v>
                </c:pt>
                <c:pt idx="7">
                  <c:v>Delta Fzo GFP +</c:v>
                </c:pt>
                <c:pt idx="8">
                  <c:v>Delta Pex3mcherry -</c:v>
                </c:pt>
                <c:pt idx="9">
                  <c:v>Delta Pex3mcherry +</c:v>
                </c:pt>
                <c:pt idx="10">
                  <c:v>Delta Triple -</c:v>
                </c:pt>
                <c:pt idx="11">
                  <c:v>Delta Triple +</c:v>
                </c:pt>
              </c:strCache>
            </c:strRef>
          </c:cat>
          <c:val>
            <c:numRef>
              <c:f>S2C!$I$17:$I$28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92.631578947368425</c:v>
                </c:pt>
                <c:pt idx="3">
                  <c:v>94.117647058823522</c:v>
                </c:pt>
                <c:pt idx="4">
                  <c:v>100</c:v>
                </c:pt>
                <c:pt idx="5">
                  <c:v>96.039603960396036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89.719626168224295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E-4376-974B-6A9E57656242}"/>
            </c:ext>
          </c:extLst>
        </c:ser>
        <c:ser>
          <c:idx val="2"/>
          <c:order val="2"/>
          <c:tx>
            <c:v>BFP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S2C!$A$17:$A$28</c:f>
              <c:strCache>
                <c:ptCount val="12"/>
                <c:pt idx="0">
                  <c:v>WT fzo GFP -</c:v>
                </c:pt>
                <c:pt idx="1">
                  <c:v>WT fzo GFP +</c:v>
                </c:pt>
                <c:pt idx="2">
                  <c:v>WT Pex3mcherry -</c:v>
                </c:pt>
                <c:pt idx="3">
                  <c:v>WT Pex3mcherry +</c:v>
                </c:pt>
                <c:pt idx="4">
                  <c:v>WT Triple -</c:v>
                </c:pt>
                <c:pt idx="5">
                  <c:v>WT Triple +</c:v>
                </c:pt>
                <c:pt idx="6">
                  <c:v>Delta Fzo GFP -</c:v>
                </c:pt>
                <c:pt idx="7">
                  <c:v>Delta Fzo GFP +</c:v>
                </c:pt>
                <c:pt idx="8">
                  <c:v>Delta Pex3mcherry -</c:v>
                </c:pt>
                <c:pt idx="9">
                  <c:v>Delta Pex3mcherry +</c:v>
                </c:pt>
                <c:pt idx="10">
                  <c:v>Delta Triple -</c:v>
                </c:pt>
                <c:pt idx="11">
                  <c:v>Delta Triple +</c:v>
                </c:pt>
              </c:strCache>
            </c:strRef>
          </c:cat>
          <c:val>
            <c:numRef>
              <c:f>S2C!$N$17:$N$28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6E-4376-974B-6A9E57656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693904"/>
        <c:axId val="1544491280"/>
      </c:barChart>
      <c:catAx>
        <c:axId val="142069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544491280"/>
        <c:crosses val="autoZero"/>
        <c:auto val="1"/>
        <c:lblAlgn val="ctr"/>
        <c:lblOffset val="100"/>
        <c:tickMarkSkip val="1"/>
        <c:noMultiLvlLbl val="0"/>
      </c:catAx>
      <c:valAx>
        <c:axId val="1544491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420693904"/>
        <c:crosses val="autoZero"/>
        <c:crossBetween val="between"/>
        <c:majorUnit val="2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04542034762474"/>
          <c:y val="4.3357922735943834E-2"/>
          <c:w val="0.70477275518496496"/>
          <c:h val="0.7922760440285278"/>
        </c:manualLayout>
      </c:layout>
      <c:barChart>
        <c:barDir val="col"/>
        <c:grouping val="clustered"/>
        <c:varyColors val="0"/>
        <c:ser>
          <c:idx val="0"/>
          <c:order val="0"/>
          <c:tx>
            <c:v>WT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0.91895538343158123</c:v>
                </c:pt>
                <c:pt idx="1">
                  <c:v>0.91895538343158123</c:v>
                </c:pt>
              </c:numLit>
            </c:plus>
            <c:minus>
              <c:numLit>
                <c:formatCode>General</c:formatCode>
                <c:ptCount val="2"/>
                <c:pt idx="0">
                  <c:v>0.91895538343158123</c:v>
                </c:pt>
                <c:pt idx="1">
                  <c:v>0.91895538343158123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Attached</c:v>
              </c:pt>
              <c:pt idx="1">
                <c:v>Detached</c:v>
              </c:pt>
            </c:strLit>
          </c:cat>
          <c:val>
            <c:numLit>
              <c:formatCode>General</c:formatCode>
              <c:ptCount val="2"/>
              <c:pt idx="0">
                <c:v>86.021505376344081</c:v>
              </c:pt>
              <c:pt idx="1">
                <c:v>13.978494623655912</c:v>
              </c:pt>
            </c:numLit>
          </c:val>
          <c:extLst>
            <c:ext xmlns:c16="http://schemas.microsoft.com/office/drawing/2014/chart" uri="{C3380CC4-5D6E-409C-BE32-E72D297353CC}">
              <c16:uniqueId val="{00000000-50F8-3642-B3F2-44D043B890A3}"/>
            </c:ext>
          </c:extLst>
        </c:ser>
        <c:ser>
          <c:idx val="1"/>
          <c:order val="1"/>
          <c:tx>
            <c:v>S201N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2.7317985076619276</c:v>
                </c:pt>
                <c:pt idx="1">
                  <c:v>2.7317985076619284</c:v>
                </c:pt>
              </c:numLit>
            </c:plus>
            <c:minus>
              <c:numLit>
                <c:formatCode>General</c:formatCode>
                <c:ptCount val="2"/>
                <c:pt idx="0">
                  <c:v>2.7317985076619276</c:v>
                </c:pt>
                <c:pt idx="1">
                  <c:v>2.7317985076619284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Attached</c:v>
              </c:pt>
              <c:pt idx="1">
                <c:v>Detached</c:v>
              </c:pt>
            </c:strLit>
          </c:cat>
          <c:val>
            <c:numLit>
              <c:formatCode>General</c:formatCode>
              <c:ptCount val="2"/>
              <c:pt idx="0">
                <c:v>79.153605015673975</c:v>
              </c:pt>
              <c:pt idx="1">
                <c:v>20.846394984326018</c:v>
              </c:pt>
            </c:numLit>
          </c:val>
          <c:extLst>
            <c:ext xmlns:c16="http://schemas.microsoft.com/office/drawing/2014/chart" uri="{C3380CC4-5D6E-409C-BE32-E72D297353CC}">
              <c16:uniqueId val="{00000001-50F8-3642-B3F2-44D043B89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9838856"/>
        <c:axId val="-2090846904"/>
      </c:barChart>
      <c:catAx>
        <c:axId val="2109838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-2090846904"/>
        <c:crosses val="autoZero"/>
        <c:auto val="0"/>
        <c:lblAlgn val="ctr"/>
        <c:lblOffset val="1"/>
        <c:noMultiLvlLbl val="0"/>
      </c:catAx>
      <c:valAx>
        <c:axId val="-20908469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10983885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87964699818341"/>
          <c:y val="0.91164859628148576"/>
          <c:w val="0.47479336281530288"/>
          <c:h val="8.8351403718514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cyc</c:v>
          </c:tx>
          <c:spPr>
            <a:solidFill>
              <a:srgbClr val="F7E30E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3.1856345167175337E-2</c:v>
                </c:pt>
              </c:numLit>
            </c:plus>
            <c:minus>
              <c:numLit>
                <c:formatCode>General</c:formatCode>
                <c:ptCount val="1"/>
                <c:pt idx="0">
                  <c:v>3.1856345167175337E-2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WT</c:v>
              </c:pt>
              <c:pt idx="1">
                <c:v>CYC</c:v>
              </c:pt>
              <c:pt idx="2">
                <c:v>TEF</c:v>
              </c:pt>
            </c:strLit>
          </c:cat>
          <c:val>
            <c:numLit>
              <c:formatCode>General</c:formatCode>
              <c:ptCount val="1"/>
              <c:pt idx="0">
                <c:v>2.3022220416736792</c:v>
              </c:pt>
            </c:numLit>
          </c:val>
          <c:extLst>
            <c:ext xmlns:c16="http://schemas.microsoft.com/office/drawing/2014/chart" uri="{C3380CC4-5D6E-409C-BE32-E72D297353CC}">
              <c16:uniqueId val="{00000001-691D-1247-8735-1CE153F7B0E5}"/>
            </c:ext>
          </c:extLst>
        </c:ser>
        <c:ser>
          <c:idx val="0"/>
          <c:order val="1"/>
          <c:tx>
            <c:v>endo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0.44122551148816208</c:v>
                </c:pt>
              </c:numLit>
            </c:plus>
            <c:minus>
              <c:numLit>
                <c:formatCode>General</c:formatCode>
                <c:ptCount val="1"/>
                <c:pt idx="0">
                  <c:v>0.44122551148816208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WT</c:v>
              </c:pt>
              <c:pt idx="1">
                <c:v>CYC</c:v>
              </c:pt>
              <c:pt idx="2">
                <c:v>TEF</c:v>
              </c:pt>
            </c:strLit>
          </c:cat>
          <c:val>
            <c:numLit>
              <c:formatCode>General</c:formatCode>
              <c:ptCount val="1"/>
              <c:pt idx="0">
                <c:v>2.3979877948210455</c:v>
              </c:pt>
            </c:numLit>
          </c:val>
          <c:extLst>
            <c:ext xmlns:c16="http://schemas.microsoft.com/office/drawing/2014/chart" uri="{C3380CC4-5D6E-409C-BE32-E72D297353CC}">
              <c16:uniqueId val="{00000000-691D-1247-8735-1CE153F7B0E5}"/>
            </c:ext>
          </c:extLst>
        </c:ser>
        <c:ser>
          <c:idx val="2"/>
          <c:order val="2"/>
          <c:tx>
            <c:v>tef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0.12152206547222412</c:v>
                </c:pt>
              </c:numLit>
            </c:plus>
            <c:minus>
              <c:numLit>
                <c:formatCode>General</c:formatCode>
                <c:ptCount val="1"/>
                <c:pt idx="0">
                  <c:v>0.12152206547222412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WT</c:v>
              </c:pt>
              <c:pt idx="1">
                <c:v>CYC</c:v>
              </c:pt>
              <c:pt idx="2">
                <c:v>TEF</c:v>
              </c:pt>
            </c:strLit>
          </c:cat>
          <c:val>
            <c:numLit>
              <c:formatCode>General</c:formatCode>
              <c:ptCount val="1"/>
              <c:pt idx="0">
                <c:v>1.9223263217540627</c:v>
              </c:pt>
            </c:numLit>
          </c:val>
          <c:extLst>
            <c:ext xmlns:c16="http://schemas.microsoft.com/office/drawing/2014/chart" uri="{C3380CC4-5D6E-409C-BE32-E72D297353CC}">
              <c16:uniqueId val="{00000002-691D-1247-8735-1CE153F7B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2230431"/>
        <c:axId val="1950143455"/>
      </c:barChart>
      <c:catAx>
        <c:axId val="194223043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50143455"/>
        <c:crosses val="autoZero"/>
        <c:auto val="1"/>
        <c:lblAlgn val="ctr"/>
        <c:lblOffset val="100"/>
        <c:noMultiLvlLbl val="0"/>
      </c:catAx>
      <c:valAx>
        <c:axId val="1950143455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94223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CYC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1.759193342940915</c:v>
                </c:pt>
              </c:numLit>
            </c:plus>
            <c:minus>
              <c:numLit>
                <c:formatCode>General</c:formatCode>
                <c:ptCount val="1"/>
                <c:pt idx="0">
                  <c:v>1.759193342940915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('S5 D-E'!$P$3,'S5 D-E'!$Q$3)</c:f>
              <c:strCache>
                <c:ptCount val="2"/>
                <c:pt idx="0">
                  <c:v>attached</c:v>
                </c:pt>
                <c:pt idx="1">
                  <c:v>Non attached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43.596879612059872</c:v>
              </c:pt>
              <c:pt idx="1">
                <c:v>56.403120387940128</c:v>
              </c:pt>
            </c:numLit>
          </c:val>
          <c:extLst>
            <c:ext xmlns:c16="http://schemas.microsoft.com/office/drawing/2014/chart" uri="{C3380CC4-5D6E-409C-BE32-E72D297353CC}">
              <c16:uniqueId val="{00000000-6CA6-8644-B525-D9B8A1A28864}"/>
            </c:ext>
          </c:extLst>
        </c:ser>
        <c:ser>
          <c:idx val="1"/>
          <c:order val="1"/>
          <c:tx>
            <c:v>WT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1.4903497749876771</c:v>
                </c:pt>
              </c:numLit>
            </c:plus>
            <c:minus>
              <c:numLit>
                <c:formatCode>General</c:formatCode>
                <c:ptCount val="1"/>
                <c:pt idx="0">
                  <c:v>1.4903497749876771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('S5 D-E'!$P$3,'S5 D-E'!$Q$3)</c:f>
              <c:strCache>
                <c:ptCount val="2"/>
                <c:pt idx="0">
                  <c:v>attached</c:v>
                </c:pt>
                <c:pt idx="1">
                  <c:v>Non attached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51.39702722975975</c:v>
              </c:pt>
              <c:pt idx="1">
                <c:v>48.60297277024025</c:v>
              </c:pt>
            </c:numLit>
          </c:val>
          <c:extLst>
            <c:ext xmlns:c16="http://schemas.microsoft.com/office/drawing/2014/chart" uri="{C3380CC4-5D6E-409C-BE32-E72D297353CC}">
              <c16:uniqueId val="{00000001-6CA6-8644-B525-D9B8A1A28864}"/>
            </c:ext>
          </c:extLst>
        </c:ser>
        <c:ser>
          <c:idx val="2"/>
          <c:order val="2"/>
          <c:tx>
            <c:v>TEF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3.1781625350453035</c:v>
                </c:pt>
              </c:numLit>
            </c:plus>
            <c:minus>
              <c:numLit>
                <c:formatCode>General</c:formatCode>
                <c:ptCount val="1"/>
                <c:pt idx="0">
                  <c:v>3.1781625350453035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('S5 D-E'!$P$3,'S5 D-E'!$Q$3)</c:f>
              <c:strCache>
                <c:ptCount val="2"/>
                <c:pt idx="0">
                  <c:v>attached</c:v>
                </c:pt>
                <c:pt idx="1">
                  <c:v>Non attached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62.540316677764082</c:v>
              </c:pt>
              <c:pt idx="1">
                <c:v>37.459683322235918</c:v>
              </c:pt>
            </c:numLit>
          </c:val>
          <c:extLst>
            <c:ext xmlns:c16="http://schemas.microsoft.com/office/drawing/2014/chart" uri="{C3380CC4-5D6E-409C-BE32-E72D297353CC}">
              <c16:uniqueId val="{00000002-6CA6-8644-B525-D9B8A1A28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40816"/>
        <c:axId val="20510000"/>
      </c:barChart>
      <c:catAx>
        <c:axId val="2734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0510000"/>
        <c:crossesAt val="0"/>
        <c:auto val="1"/>
        <c:lblAlgn val="ctr"/>
        <c:lblOffset val="100"/>
        <c:noMultiLvlLbl val="0"/>
      </c:catAx>
      <c:valAx>
        <c:axId val="20510000"/>
        <c:scaling>
          <c:orientation val="minMax"/>
          <c:max val="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7340816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CYC</c:v>
          </c:tx>
          <c:spPr>
            <a:solidFill>
              <a:srgbClr val="F7E30E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1.5367952173760371</c:v>
                </c:pt>
              </c:numLit>
            </c:plus>
            <c:minus>
              <c:numLit>
                <c:formatCode>General</c:formatCode>
                <c:ptCount val="1"/>
                <c:pt idx="0">
                  <c:v>1.5367952173760371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('S5 D-E'!$P$3,'S5 D-E'!$Q$3)</c:f>
              <c:strCache>
                <c:ptCount val="2"/>
                <c:pt idx="0">
                  <c:v>attached</c:v>
                </c:pt>
                <c:pt idx="1">
                  <c:v>Non attached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42.015912361772322</c:v>
              </c:pt>
              <c:pt idx="1">
                <c:v>57.984087638227685</c:v>
              </c:pt>
            </c:numLit>
          </c:val>
          <c:extLst>
            <c:ext xmlns:c16="http://schemas.microsoft.com/office/drawing/2014/chart" uri="{C3380CC4-5D6E-409C-BE32-E72D297353CC}">
              <c16:uniqueId val="{00000000-C0B0-334F-B572-3A35D4A2581C}"/>
            </c:ext>
          </c:extLst>
        </c:ser>
        <c:ser>
          <c:idx val="1"/>
          <c:order val="1"/>
          <c:tx>
            <c:v>WT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2.1713098898034939</c:v>
                </c:pt>
              </c:numLit>
            </c:plus>
            <c:minus>
              <c:numLit>
                <c:formatCode>General</c:formatCode>
                <c:ptCount val="1"/>
                <c:pt idx="0">
                  <c:v>2.1713098898034939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('S5 D-E'!$P$3,'S5 D-E'!$Q$3)</c:f>
              <c:strCache>
                <c:ptCount val="2"/>
                <c:pt idx="0">
                  <c:v>attached</c:v>
                </c:pt>
                <c:pt idx="1">
                  <c:v>Non attached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53.136851070703507</c:v>
              </c:pt>
              <c:pt idx="1">
                <c:v>46.863148929296493</c:v>
              </c:pt>
            </c:numLit>
          </c:val>
          <c:extLst>
            <c:ext xmlns:c16="http://schemas.microsoft.com/office/drawing/2014/chart" uri="{C3380CC4-5D6E-409C-BE32-E72D297353CC}">
              <c16:uniqueId val="{00000001-C0B0-334F-B572-3A35D4A2581C}"/>
            </c:ext>
          </c:extLst>
        </c:ser>
        <c:ser>
          <c:idx val="2"/>
          <c:order val="2"/>
          <c:tx>
            <c:v>TEF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2.142602235919064</c:v>
                </c:pt>
              </c:numLit>
            </c:plus>
            <c:minus>
              <c:numLit>
                <c:formatCode>General</c:formatCode>
                <c:ptCount val="1"/>
                <c:pt idx="0">
                  <c:v>2.142602235919064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('S5 D-E'!$P$3,'S5 D-E'!$Q$3)</c:f>
              <c:strCache>
                <c:ptCount val="2"/>
                <c:pt idx="0">
                  <c:v>attached</c:v>
                </c:pt>
                <c:pt idx="1">
                  <c:v>Non attached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63.290915517850834</c:v>
              </c:pt>
              <c:pt idx="1">
                <c:v>36.709084482149166</c:v>
              </c:pt>
            </c:numLit>
          </c:val>
          <c:extLst>
            <c:ext xmlns:c16="http://schemas.microsoft.com/office/drawing/2014/chart" uri="{C3380CC4-5D6E-409C-BE32-E72D297353CC}">
              <c16:uniqueId val="{00000002-C0B0-334F-B572-3A35D4A25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340816"/>
        <c:axId val="20510000"/>
      </c:barChart>
      <c:catAx>
        <c:axId val="2734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0510000"/>
        <c:crossesAt val="0"/>
        <c:auto val="1"/>
        <c:lblAlgn val="ctr"/>
        <c:lblOffset val="100"/>
        <c:noMultiLvlLbl val="0"/>
      </c:catAx>
      <c:valAx>
        <c:axId val="20510000"/>
        <c:scaling>
          <c:orientation val="minMax"/>
          <c:max val="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7340816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Average Green</c:v>
          </c:tx>
          <c:spPr>
            <a:solidFill>
              <a:srgbClr val="00B050"/>
            </a:solidFill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5.17988587147617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9.9736718738406331</c:v>
                </c:pt>
              </c:numLit>
            </c:plus>
            <c:minus>
              <c:numLit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5.17988587147617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9.9736718738406331</c:v>
                </c:pt>
              </c:numLit>
            </c:minus>
          </c:errBars>
          <c:cat>
            <c:strLit>
              <c:ptCount val="12"/>
              <c:pt idx="0">
                <c:v>WT fzo GFP -</c:v>
              </c:pt>
              <c:pt idx="1">
                <c:v>WT fzo GFP +</c:v>
              </c:pt>
              <c:pt idx="2">
                <c:v>WT Pex3mcherry -</c:v>
              </c:pt>
              <c:pt idx="3">
                <c:v>WT Pex3mcherry +</c:v>
              </c:pt>
              <c:pt idx="4">
                <c:v>WT Triple -</c:v>
              </c:pt>
              <c:pt idx="5">
                <c:v>WT Triple +</c:v>
              </c:pt>
              <c:pt idx="6">
                <c:v>Delta Fzo GFP -</c:v>
              </c:pt>
              <c:pt idx="7">
                <c:v>Delta Fzo GFP +</c:v>
              </c:pt>
              <c:pt idx="8">
                <c:v>Delta Pex3mcherry -</c:v>
              </c:pt>
              <c:pt idx="9">
                <c:v>Delta Pex3mcherry +</c:v>
              </c:pt>
              <c:pt idx="10">
                <c:v>Delta Triple -</c:v>
              </c:pt>
              <c:pt idx="11">
                <c:v>Delta Triple +</c:v>
              </c:pt>
            </c:strLit>
          </c:cat>
          <c:val>
            <c:numLit>
              <c:formatCode>0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 formatCode="0.000000">
                <c:v>27.526983984183389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 formatCode="General">
                <c:v>44.453165881737306</c:v>
              </c:pt>
            </c:numLit>
          </c:val>
          <c:extLst>
            <c:ext xmlns:c16="http://schemas.microsoft.com/office/drawing/2014/chart" uri="{C3380CC4-5D6E-409C-BE32-E72D297353CC}">
              <c16:uniqueId val="{00000000-A68B-724F-97B4-86DDAE5524CC}"/>
            </c:ext>
          </c:extLst>
        </c:ser>
        <c:ser>
          <c:idx val="1"/>
          <c:order val="1"/>
          <c:tx>
            <c:v>Average Red</c:v>
          </c:tx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1.9258030957432901</c:v>
                </c:pt>
                <c:pt idx="4">
                  <c:v>0</c:v>
                </c:pt>
                <c:pt idx="5">
                  <c:v>0.71622507098923438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8.3763977387389694</c:v>
                </c:pt>
              </c:numLit>
            </c:plus>
            <c:minus>
              <c:numLit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1.9258030957432901</c:v>
                </c:pt>
                <c:pt idx="4">
                  <c:v>0</c:v>
                </c:pt>
                <c:pt idx="5">
                  <c:v>0.71622507098923438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8.3763977387389694</c:v>
                </c:pt>
              </c:numLit>
            </c:minus>
          </c:errBars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95.296668637886853</c:v>
              </c:pt>
              <c:pt idx="4">
                <c:v>0</c:v>
              </c:pt>
              <c:pt idx="5">
                <c:v>99.122807017543849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100</c:v>
              </c:pt>
              <c:pt idx="10">
                <c:v>0</c:v>
              </c:pt>
              <c:pt idx="11">
                <c:v>85.672514619883032</c:v>
              </c:pt>
            </c:numLit>
          </c:val>
          <c:extLst>
            <c:ext xmlns:c16="http://schemas.microsoft.com/office/drawing/2014/chart" uri="{C3380CC4-5D6E-409C-BE32-E72D297353CC}">
              <c16:uniqueId val="{00000001-A68B-724F-97B4-86DDAE5524CC}"/>
            </c:ext>
          </c:extLst>
        </c:ser>
        <c:ser>
          <c:idx val="2"/>
          <c:order val="2"/>
          <c:tx>
            <c:v>Average Blue</c:v>
          </c:tx>
          <c:spPr>
            <a:solidFill>
              <a:srgbClr val="0070C0"/>
            </a:solidFill>
          </c:spPr>
          <c:invertIfNegative val="0"/>
          <c:errBars>
            <c:errBarType val="both"/>
            <c:errValType val="stdDev"/>
            <c:noEndCap val="0"/>
            <c:val val="1"/>
          </c:errBars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8B-724F-97B4-86DDAE552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07936"/>
        <c:axId val="131209472"/>
      </c:barChart>
      <c:catAx>
        <c:axId val="13120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accent1"/>
            </a:solidFill>
          </a:ln>
        </c:spPr>
        <c:txPr>
          <a:bodyPr rot="-2700000" vert="horz"/>
          <a:lstStyle/>
          <a:p>
            <a:pPr>
              <a:defRPr sz="1200" b="1">
                <a:latin typeface="+mn-lt"/>
              </a:defRPr>
            </a:pPr>
            <a:endParaRPr lang="en-DE"/>
          </a:p>
        </c:txPr>
        <c:crossAx val="131209472"/>
        <c:crosses val="autoZero"/>
        <c:auto val="1"/>
        <c:lblAlgn val="ctr"/>
        <c:lblOffset val="100"/>
        <c:tickMarkSkip val="1"/>
        <c:noMultiLvlLbl val="0"/>
      </c:catAx>
      <c:valAx>
        <c:axId val="1312094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Percentage</a:t>
                </a:r>
                <a:r>
                  <a:rPr lang="en-US" sz="2000" baseline="0"/>
                  <a:t> of Fluorescence (%)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395186318206273E-2"/>
              <c:y val="0.1938720563670776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 b="0"/>
            </a:pPr>
            <a:endParaRPr lang="en-DE"/>
          </a:p>
        </c:txPr>
        <c:crossAx val="13120793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31798909751666"/>
          <c:y val="8.7962962962962965E-2"/>
          <c:w val="0.77098970321017568"/>
          <c:h val="0.80463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0.12257000119703663</c:v>
                </c:pt>
                <c:pt idx="1">
                  <c:v>0</c:v>
                </c:pt>
              </c:numLit>
            </c:plus>
            <c:minus>
              <c:numLit>
                <c:formatCode>General</c:formatCode>
                <c:ptCount val="2"/>
                <c:pt idx="0">
                  <c:v>0.12257000119703663</c:v>
                </c:pt>
                <c:pt idx="1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WT</c:v>
              </c:pt>
              <c:pt idx="1">
                <c:v>D</c:v>
              </c:pt>
            </c:strLit>
          </c:cat>
          <c:val>
            <c:numLit>
              <c:formatCode>General</c:formatCode>
              <c:ptCount val="2"/>
              <c:pt idx="0">
                <c:v>0.19515881086479045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ABC-EA42-AC6E-D06C12828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430800"/>
        <c:axId val="215576224"/>
      </c:barChart>
      <c:catAx>
        <c:axId val="21543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15576224"/>
        <c:crosses val="autoZero"/>
        <c:auto val="1"/>
        <c:lblAlgn val="ctr"/>
        <c:lblOffset val="100"/>
        <c:noMultiLvlLbl val="0"/>
      </c:catAx>
      <c:valAx>
        <c:axId val="2155762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154308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0771349862258"/>
          <c:y val="0.1065989847715736"/>
          <c:w val="0.79498622589531676"/>
          <c:h val="0.77568527918781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0.16426645096835793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9E8-3949-ADCF-EEC3ABF5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156128"/>
        <c:axId val="356157856"/>
      </c:barChart>
      <c:catAx>
        <c:axId val="3561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356157856"/>
        <c:crosses val="autoZero"/>
        <c:auto val="1"/>
        <c:lblAlgn val="ctr"/>
        <c:lblOffset val="100"/>
        <c:noMultiLvlLbl val="0"/>
      </c:catAx>
      <c:valAx>
        <c:axId val="356157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3561561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63999717826999"/>
          <c:y val="5.0928989380914544E-2"/>
          <c:w val="0.80065967874504551"/>
          <c:h val="0.61189120855305934"/>
        </c:manualLayout>
      </c:layout>
      <c:barChart>
        <c:barDir val="col"/>
        <c:grouping val="clustered"/>
        <c:varyColors val="0"/>
        <c:ser>
          <c:idx val="0"/>
          <c:order val="0"/>
          <c:tx>
            <c:v>GFP</c:v>
          </c:tx>
          <c:spPr>
            <a:solidFill>
              <a:srgbClr val="00B050"/>
            </a:solidFill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3.663258029426173</c:v>
                </c:pt>
                <c:pt idx="6">
                  <c:v>0</c:v>
                </c:pt>
                <c:pt idx="7">
                  <c:v>3.8641363043949677</c:v>
                </c:pt>
              </c:numLit>
            </c:plus>
            <c:minus>
              <c:numLit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3.663258029426173</c:v>
                </c:pt>
                <c:pt idx="6">
                  <c:v>0</c:v>
                </c:pt>
                <c:pt idx="7">
                  <c:v>3.8641363043949677</c:v>
                </c:pt>
              </c:numLit>
            </c:minus>
          </c:errBars>
          <c:cat>
            <c:strLit>
              <c:ptCount val="8"/>
              <c:pt idx="0">
                <c:v>mtBFP S201N mock</c:v>
              </c:pt>
              <c:pt idx="1">
                <c:v>mtBFP S201N +</c:v>
              </c:pt>
              <c:pt idx="2">
                <c:v>mtBFP Fzo-GFP mock</c:v>
              </c:pt>
              <c:pt idx="3">
                <c:v>mtBFP Fzo-GFP +</c:v>
              </c:pt>
              <c:pt idx="4">
                <c:v>WT Triple mock</c:v>
              </c:pt>
              <c:pt idx="5">
                <c:v>WT Triple +</c:v>
              </c:pt>
              <c:pt idx="6">
                <c:v>S201N Triple mock</c:v>
              </c:pt>
              <c:pt idx="7">
                <c:v>S201N Triple 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24.816849816849821</c:v>
              </c:pt>
              <c:pt idx="6">
                <c:v>0</c:v>
              </c:pt>
              <c:pt idx="7">
                <c:v>33.711389961389962</c:v>
              </c:pt>
            </c:numLit>
          </c:val>
          <c:extLst>
            <c:ext xmlns:c16="http://schemas.microsoft.com/office/drawing/2014/chart" uri="{C3380CC4-5D6E-409C-BE32-E72D297353CC}">
              <c16:uniqueId val="{00000000-1921-1848-88FA-A03DB3A86570}"/>
            </c:ext>
          </c:extLst>
        </c:ser>
        <c:ser>
          <c:idx val="1"/>
          <c:order val="1"/>
          <c:tx>
            <c:v>RFP</c:v>
          </c:tx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Lit>
            </c:plus>
            <c:minus>
              <c:numLit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Lit>
            </c:minus>
          </c:errBars>
          <c:cat>
            <c:strLit>
              <c:ptCount val="8"/>
              <c:pt idx="0">
                <c:v>mtBFP S201N mock</c:v>
              </c:pt>
              <c:pt idx="1">
                <c:v>mtBFP S201N +</c:v>
              </c:pt>
              <c:pt idx="2">
                <c:v>mtBFP Fzo-GFP mock</c:v>
              </c:pt>
              <c:pt idx="3">
                <c:v>mtBFP Fzo-GFP +</c:v>
              </c:pt>
              <c:pt idx="4">
                <c:v>WT Triple mock</c:v>
              </c:pt>
              <c:pt idx="5">
                <c:v>WT Triple +</c:v>
              </c:pt>
              <c:pt idx="6">
                <c:v>S201N Triple mock</c:v>
              </c:pt>
              <c:pt idx="7">
                <c:v>S201N Triple 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100</c:v>
              </c:pt>
              <c:pt idx="6">
                <c:v>0</c:v>
              </c:pt>
              <c:pt idx="7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1-1921-1848-88FA-A03DB3A86570}"/>
            </c:ext>
          </c:extLst>
        </c:ser>
        <c:ser>
          <c:idx val="2"/>
          <c:order val="2"/>
          <c:tx>
            <c:v>BFP</c:v>
          </c:tx>
          <c:spPr>
            <a:solidFill>
              <a:srgbClr val="0070C0"/>
            </a:solidFill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cat>
            <c:strLit>
              <c:ptCount val="8"/>
              <c:pt idx="0">
                <c:v>mtBFP S201N mock</c:v>
              </c:pt>
              <c:pt idx="1">
                <c:v>mtBFP S201N +</c:v>
              </c:pt>
              <c:pt idx="2">
                <c:v>mtBFP Fzo-GFP mock</c:v>
              </c:pt>
              <c:pt idx="3">
                <c:v>mtBFP Fzo-GFP +</c:v>
              </c:pt>
              <c:pt idx="4">
                <c:v>WT Triple mock</c:v>
              </c:pt>
              <c:pt idx="5">
                <c:v>WT Triple +</c:v>
              </c:pt>
              <c:pt idx="6">
                <c:v>S201N Triple mock</c:v>
              </c:pt>
              <c:pt idx="7">
                <c:v>S201N Triple 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921-1848-88FA-A03DB3A8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31552"/>
        <c:axId val="42943232"/>
      </c:barChart>
      <c:catAx>
        <c:axId val="4303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accent1"/>
            </a:solidFill>
          </a:ln>
        </c:spPr>
        <c:txPr>
          <a:bodyPr rot="-2700000" vert="horz"/>
          <a:lstStyle/>
          <a:p>
            <a:pPr>
              <a:defRPr sz="1000" b="1">
                <a:latin typeface="+mn-lt"/>
              </a:defRPr>
            </a:pPr>
            <a:endParaRPr lang="en-DE"/>
          </a:p>
        </c:txPr>
        <c:crossAx val="42943232"/>
        <c:crosses val="autoZero"/>
        <c:auto val="1"/>
        <c:lblAlgn val="ctr"/>
        <c:lblOffset val="100"/>
        <c:tickMarkSkip val="1"/>
        <c:noMultiLvlLbl val="0"/>
      </c:catAx>
      <c:valAx>
        <c:axId val="429432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Percentage</a:t>
                </a:r>
                <a:r>
                  <a:rPr lang="en-US" sz="1000" baseline="0"/>
                  <a:t> of Fluorescence (%)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1.6395186318206273E-2"/>
              <c:y val="0.193872056367077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DE"/>
          </a:p>
        </c:txPr>
        <c:crossAx val="43031552"/>
        <c:crosses val="autoZero"/>
        <c:crossBetween val="between"/>
        <c:majorUnit val="10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3949121744397"/>
          <c:y val="8.7962962962962965E-2"/>
          <c:w val="0.72791278013325256"/>
          <c:h val="0.80463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3.7558750029463982E-2</c:v>
                </c:pt>
                <c:pt idx="1">
                  <c:v>0</c:v>
                </c:pt>
              </c:numLit>
            </c:plus>
            <c:minus>
              <c:numLit>
                <c:formatCode>General</c:formatCode>
                <c:ptCount val="2"/>
                <c:pt idx="0">
                  <c:v>3.7558750029463982E-2</c:v>
                </c:pt>
                <c:pt idx="1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2"/>
              <c:pt idx="0">
                <c:v>WT</c:v>
              </c:pt>
              <c:pt idx="1">
                <c:v>S201N</c:v>
              </c:pt>
            </c:strLit>
          </c:cat>
          <c:val>
            <c:numLit>
              <c:formatCode>General</c:formatCode>
              <c:ptCount val="2"/>
              <c:pt idx="0">
                <c:v>5.4888816460996137E-2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205-5F48-987D-0B3D70D4F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430800"/>
        <c:axId val="215576224"/>
      </c:barChart>
      <c:catAx>
        <c:axId val="21543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15576224"/>
        <c:crosses val="autoZero"/>
        <c:auto val="1"/>
        <c:lblAlgn val="ctr"/>
        <c:lblOffset val="100"/>
        <c:noMultiLvlLbl val="0"/>
      </c:catAx>
      <c:valAx>
        <c:axId val="2155762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2154308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Spé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0.11449656492361417</c:v>
                </c:pt>
                <c:pt idx="1">
                  <c:v>0.59146566888961549</c:v>
                </c:pt>
                <c:pt idx="2">
                  <c:v>2.9275377764991379</c:v>
                </c:pt>
                <c:pt idx="3">
                  <c:v>0.51088969553607189</c:v>
                </c:pt>
              </c:numLit>
            </c:plus>
            <c:minus>
              <c:numLit>
                <c:formatCode>General</c:formatCode>
                <c:ptCount val="4"/>
                <c:pt idx="0">
                  <c:v>0.11449656492361417</c:v>
                </c:pt>
                <c:pt idx="1">
                  <c:v>0.59146566888961549</c:v>
                </c:pt>
                <c:pt idx="2">
                  <c:v>2.9275377764991379</c:v>
                </c:pt>
                <c:pt idx="3">
                  <c:v>0.51088969553607189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4"/>
              <c:pt idx="0">
                <c:v>WT</c:v>
              </c:pt>
              <c:pt idx="1">
                <c:v>S201N</c:v>
              </c:pt>
              <c:pt idx="2">
                <c:v>WT Pex34</c:v>
              </c:pt>
              <c:pt idx="3">
                <c:v>S201N Pex34</c:v>
              </c:pt>
            </c:strLit>
          </c:cat>
          <c:val>
            <c:numLit>
              <c:formatCode>General</c:formatCode>
              <c:ptCount val="4"/>
              <c:pt idx="0">
                <c:v>18.011338857392047</c:v>
              </c:pt>
              <c:pt idx="1">
                <c:v>-0.58002821758896062</c:v>
              </c:pt>
              <c:pt idx="2">
                <c:v>42.614398569086319</c:v>
              </c:pt>
              <c:pt idx="3">
                <c:v>25.761871013465637</c:v>
              </c:pt>
            </c:numLit>
          </c:val>
          <c:extLst>
            <c:ext xmlns:c16="http://schemas.microsoft.com/office/drawing/2014/chart" uri="{C3380CC4-5D6E-409C-BE32-E72D297353CC}">
              <c16:uniqueId val="{00000000-D00C-1A4C-B303-03B2E0E7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3394447"/>
        <c:axId val="1233497839"/>
      </c:barChart>
      <c:catAx>
        <c:axId val="12333944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3497839"/>
        <c:crosses val="autoZero"/>
        <c:auto val="1"/>
        <c:lblAlgn val="ctr"/>
        <c:lblOffset val="100"/>
        <c:noMultiLvlLbl val="0"/>
      </c:catAx>
      <c:valAx>
        <c:axId val="12334978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233394447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Fzo/PGK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0</c:v>
                </c:pt>
                <c:pt idx="1">
                  <c:v>10.798918019311664</c:v>
                </c:pt>
                <c:pt idx="2">
                  <c:v>25.075298074770803</c:v>
                </c:pt>
              </c:numLit>
            </c:plus>
            <c:minus>
              <c:numLit>
                <c:formatCode>General</c:formatCode>
                <c:ptCount val="3"/>
                <c:pt idx="0">
                  <c:v>0</c:v>
                </c:pt>
                <c:pt idx="1">
                  <c:v>10.798918019311664</c:v>
                </c:pt>
                <c:pt idx="2">
                  <c:v>25.075298074770803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WT</c:v>
              </c:pt>
              <c:pt idx="1">
                <c:v>Cyc</c:v>
              </c:pt>
              <c:pt idx="2">
                <c:v>Tef</c:v>
              </c:pt>
            </c:strLit>
          </c:cat>
          <c:val>
            <c:numLit>
              <c:formatCode>General</c:formatCode>
              <c:ptCount val="3"/>
              <c:pt idx="0">
                <c:v>100</c:v>
              </c:pt>
              <c:pt idx="1">
                <c:v>65.029305051632718</c:v>
              </c:pt>
              <c:pt idx="2">
                <c:v>175.60000000000002</c:v>
              </c:pt>
            </c:numLit>
          </c:val>
          <c:extLst>
            <c:ext xmlns:c16="http://schemas.microsoft.com/office/drawing/2014/chart" uri="{C3380CC4-5D6E-409C-BE32-E72D297353CC}">
              <c16:uniqueId val="{00000000-D6CE-5848-84C7-D7B041615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9597120"/>
        <c:axId val="1081942688"/>
      </c:barChart>
      <c:catAx>
        <c:axId val="7195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1081942688"/>
        <c:crosses val="autoZero"/>
        <c:auto val="1"/>
        <c:lblAlgn val="ctr"/>
        <c:lblOffset val="100"/>
        <c:noMultiLvlLbl val="0"/>
      </c:catAx>
      <c:valAx>
        <c:axId val="10819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71959712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9</xdr:row>
      <xdr:rowOff>0</xdr:rowOff>
    </xdr:from>
    <xdr:to>
      <xdr:col>12</xdr:col>
      <xdr:colOff>279398</xdr:colOff>
      <xdr:row>25</xdr:row>
      <xdr:rowOff>143932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3753A94-E781-9045-99F3-41171E4B5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9</xdr:row>
      <xdr:rowOff>0</xdr:rowOff>
    </xdr:from>
    <xdr:to>
      <xdr:col>7</xdr:col>
      <xdr:colOff>190767</xdr:colOff>
      <xdr:row>23</xdr:row>
      <xdr:rowOff>181382</xdr:rowOff>
    </xdr:to>
    <xdr:graphicFrame macro="">
      <xdr:nvGraphicFramePr>
        <xdr:cNvPr id="4" name="Graphique 4">
          <a:extLst>
            <a:ext uri="{FF2B5EF4-FFF2-40B4-BE49-F238E27FC236}">
              <a16:creationId xmlns:a16="http://schemas.microsoft.com/office/drawing/2014/main" id="{E32B87C2-D194-A045-8240-9E04FBA4B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800100</xdr:colOff>
      <xdr:row>47</xdr:row>
      <xdr:rowOff>177799</xdr:rowOff>
    </xdr:from>
    <xdr:to>
      <xdr:col>14</xdr:col>
      <xdr:colOff>698500</xdr:colOff>
      <xdr:row>62</xdr:row>
      <xdr:rowOff>38100</xdr:rowOff>
    </xdr:to>
    <xdr:graphicFrame macro="">
      <xdr:nvGraphicFramePr>
        <xdr:cNvPr id="2" name="Graphique 8">
          <a:extLst>
            <a:ext uri="{FF2B5EF4-FFF2-40B4-BE49-F238E27FC236}">
              <a16:creationId xmlns:a16="http://schemas.microsoft.com/office/drawing/2014/main" id="{C0923D59-8E37-F445-8993-972C9D61F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800100</xdr:colOff>
      <xdr:row>48</xdr:row>
      <xdr:rowOff>0</xdr:rowOff>
    </xdr:from>
    <xdr:to>
      <xdr:col>17</xdr:col>
      <xdr:colOff>736600</xdr:colOff>
      <xdr:row>62</xdr:row>
      <xdr:rowOff>50800</xdr:rowOff>
    </xdr:to>
    <xdr:graphicFrame macro="">
      <xdr:nvGraphicFramePr>
        <xdr:cNvPr id="3" name="Graphique 9">
          <a:extLst>
            <a:ext uri="{FF2B5EF4-FFF2-40B4-BE49-F238E27FC236}">
              <a16:creationId xmlns:a16="http://schemas.microsoft.com/office/drawing/2014/main" id="{1170C59D-1075-114F-A13C-940E8166F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22791</xdr:colOff>
      <xdr:row>48</xdr:row>
      <xdr:rowOff>25401</xdr:rowOff>
    </xdr:from>
    <xdr:to>
      <xdr:col>21</xdr:col>
      <xdr:colOff>76200</xdr:colOff>
      <xdr:row>62</xdr:row>
      <xdr:rowOff>88900</xdr:rowOff>
    </xdr:to>
    <xdr:graphicFrame macro="">
      <xdr:nvGraphicFramePr>
        <xdr:cNvPr id="4" name="Graphique 10">
          <a:extLst>
            <a:ext uri="{FF2B5EF4-FFF2-40B4-BE49-F238E27FC236}">
              <a16:creationId xmlns:a16="http://schemas.microsoft.com/office/drawing/2014/main" id="{933936FC-F27B-354E-8F44-268A9D1A0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279400</xdr:colOff>
      <xdr:row>26</xdr:row>
      <xdr:rowOff>0</xdr:rowOff>
    </xdr:from>
    <xdr:to>
      <xdr:col>25</xdr:col>
      <xdr:colOff>977900</xdr:colOff>
      <xdr:row>38</xdr:row>
      <xdr:rowOff>25400</xdr:rowOff>
    </xdr:to>
    <xdr:graphicFrame macro="">
      <xdr:nvGraphicFramePr>
        <xdr:cNvPr id="6" name="Graphique 1">
          <a:extLst>
            <a:ext uri="{FF2B5EF4-FFF2-40B4-BE49-F238E27FC236}">
              <a16:creationId xmlns:a16="http://schemas.microsoft.com/office/drawing/2014/main" id="{145C3E8F-5405-8A49-82D0-B74BA423E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256540</xdr:colOff>
      <xdr:row>0</xdr:row>
      <xdr:rowOff>40640</xdr:rowOff>
    </xdr:from>
    <xdr:to>
      <xdr:col>25</xdr:col>
      <xdr:colOff>1016000</xdr:colOff>
      <xdr:row>12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B28DFC13-3BB7-8843-94C7-5CB37580E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256540</xdr:colOff>
      <xdr:row>12</xdr:row>
      <xdr:rowOff>76200</xdr:rowOff>
    </xdr:from>
    <xdr:to>
      <xdr:col>25</xdr:col>
      <xdr:colOff>1016000</xdr:colOff>
      <xdr:row>25</xdr:row>
      <xdr:rowOff>63500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38896918-E77D-D24C-9276-1B029E040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12700</xdr:colOff>
      <xdr:row>0</xdr:row>
      <xdr:rowOff>1</xdr:rowOff>
    </xdr:from>
    <xdr:to>
      <xdr:col>29</xdr:col>
      <xdr:colOff>355600</xdr:colOff>
      <xdr:row>19</xdr:row>
      <xdr:rowOff>76201</xdr:rowOff>
    </xdr:to>
    <xdr:graphicFrame macro="">
      <xdr:nvGraphicFramePr>
        <xdr:cNvPr id="5" name="Graphique 6">
          <a:extLst>
            <a:ext uri="{FF2B5EF4-FFF2-40B4-BE49-F238E27FC236}">
              <a16:creationId xmlns:a16="http://schemas.microsoft.com/office/drawing/2014/main" id="{48807CEB-AC12-7943-9CE3-49C3BEA32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767556</xdr:colOff>
      <xdr:row>16</xdr:row>
      <xdr:rowOff>12701</xdr:rowOff>
    </xdr:from>
    <xdr:to>
      <xdr:col>27</xdr:col>
      <xdr:colOff>144462</xdr:colOff>
      <xdr:row>31</xdr:row>
      <xdr:rowOff>41276</xdr:rowOff>
    </xdr:to>
    <xdr:graphicFrame macro="">
      <xdr:nvGraphicFramePr>
        <xdr:cNvPr id="2" name="Graphique 8">
          <a:extLst>
            <a:ext uri="{FF2B5EF4-FFF2-40B4-BE49-F238E27FC236}">
              <a16:creationId xmlns:a16="http://schemas.microsoft.com/office/drawing/2014/main" id="{E22FE6ED-418A-454F-B18C-86759952E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774700</xdr:colOff>
      <xdr:row>0</xdr:row>
      <xdr:rowOff>50800</xdr:rowOff>
    </xdr:from>
    <xdr:to>
      <xdr:col>26</xdr:col>
      <xdr:colOff>685006</xdr:colOff>
      <xdr:row>15</xdr:row>
      <xdr:rowOff>79375</xdr:rowOff>
    </xdr:to>
    <xdr:graphicFrame macro="">
      <xdr:nvGraphicFramePr>
        <xdr:cNvPr id="3" name="Graphique 9">
          <a:extLst>
            <a:ext uri="{FF2B5EF4-FFF2-40B4-BE49-F238E27FC236}">
              <a16:creationId xmlns:a16="http://schemas.microsoft.com/office/drawing/2014/main" id="{06DAF8CA-A2B1-AD4B-80CE-5BA967598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100</xdr:row>
      <xdr:rowOff>176211</xdr:rowOff>
    </xdr:from>
    <xdr:to>
      <xdr:col>5</xdr:col>
      <xdr:colOff>209549</xdr:colOff>
      <xdr:row>116</xdr:row>
      <xdr:rowOff>180974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513645</xdr:colOff>
      <xdr:row>0</xdr:row>
      <xdr:rowOff>28223</xdr:rowOff>
    </xdr:from>
    <xdr:to>
      <xdr:col>9</xdr:col>
      <xdr:colOff>208845</xdr:colOff>
      <xdr:row>12</xdr:row>
      <xdr:rowOff>127000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60773F2-EAE6-45C3-91CD-5FD54AD94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571501</xdr:colOff>
      <xdr:row>11</xdr:row>
      <xdr:rowOff>0</xdr:rowOff>
    </xdr:from>
    <xdr:to>
      <xdr:col>7</xdr:col>
      <xdr:colOff>711200</xdr:colOff>
      <xdr:row>23</xdr:row>
      <xdr:rowOff>139700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DFF2D71-4A27-6843-ABCD-4EF9B8B3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491491</xdr:colOff>
      <xdr:row>7</xdr:row>
      <xdr:rowOff>162560</xdr:rowOff>
    </xdr:from>
    <xdr:to>
      <xdr:col>7</xdr:col>
      <xdr:colOff>88900</xdr:colOff>
      <xdr:row>22</xdr:row>
      <xdr:rowOff>162560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E495BD4-1977-DE48-BA1C-5A521047E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358140</xdr:colOff>
      <xdr:row>68</xdr:row>
      <xdr:rowOff>144780</xdr:rowOff>
    </xdr:from>
    <xdr:to>
      <xdr:col>9</xdr:col>
      <xdr:colOff>891540</xdr:colOff>
      <xdr:row>70</xdr:row>
      <xdr:rowOff>120698</xdr:rowOff>
    </xdr:to>
    <xdr:sp macro="" textlink="">
      <xdr:nvSpPr>
        <xdr:cNvPr id="9" name="ZoneTexte 1">
          <a:extLst>
            <a:ext uri="{FF2B5EF4-FFF2-40B4-BE49-F238E27FC236}">
              <a16:creationId xmlns:a16="http://schemas.microsoft.com/office/drawing/2014/main" id="{2644C125-36A3-784C-83B7-E749D7F898CC}"/>
            </a:ext>
          </a:extLst>
        </xdr:cNvPr>
        <xdr:cNvSpPr txBox="1"/>
      </xdr:nvSpPr>
      <xdr:spPr>
        <a:xfrm>
          <a:off x="7851140" y="13187680"/>
          <a:ext cx="2006600" cy="35691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</xdr:colOff>
      <xdr:row>13</xdr:row>
      <xdr:rowOff>15240</xdr:rowOff>
    </xdr:from>
    <xdr:to>
      <xdr:col>18</xdr:col>
      <xdr:colOff>635000</xdr:colOff>
      <xdr:row>27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0F5DCE9-E09D-3F41-BE95-F942E7D14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129540</xdr:colOff>
      <xdr:row>13</xdr:row>
      <xdr:rowOff>5715</xdr:rowOff>
    </xdr:from>
    <xdr:to>
      <xdr:col>22</xdr:col>
      <xdr:colOff>596900</xdr:colOff>
      <xdr:row>27</xdr:row>
      <xdr:rowOff>88900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85D4D5B-2168-9449-92C8-881F238B6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815042</xdr:colOff>
      <xdr:row>8</xdr:row>
      <xdr:rowOff>174812</xdr:rowOff>
    </xdr:from>
    <xdr:to>
      <xdr:col>12</xdr:col>
      <xdr:colOff>400423</xdr:colOff>
      <xdr:row>25</xdr:row>
      <xdr:rowOff>8180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21DF293-6D7F-D041-9261-5905C87F0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29837</xdr:colOff>
      <xdr:row>43</xdr:row>
      <xdr:rowOff>28221</xdr:rowOff>
    </xdr:from>
    <xdr:to>
      <xdr:col>5</xdr:col>
      <xdr:colOff>38100</xdr:colOff>
      <xdr:row>64</xdr:row>
      <xdr:rowOff>101600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B2E060E-E1E0-4749-B6C5-C969B02A8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17</xdr:row>
      <xdr:rowOff>177800</xdr:rowOff>
    </xdr:from>
    <xdr:to>
      <xdr:col>13</xdr:col>
      <xdr:colOff>279401</xdr:colOff>
      <xdr:row>32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C18781-08FA-284B-9439-072B857CA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228600</xdr:colOff>
      <xdr:row>15</xdr:row>
      <xdr:rowOff>12700</xdr:rowOff>
    </xdr:from>
    <xdr:to>
      <xdr:col>16</xdr:col>
      <xdr:colOff>648855</xdr:colOff>
      <xdr:row>28</xdr:row>
      <xdr:rowOff>31173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485EFF-BCBE-B84E-977C-7FBE234F4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71968</xdr:colOff>
      <xdr:row>32</xdr:row>
      <xdr:rowOff>1</xdr:rowOff>
    </xdr:from>
    <xdr:to>
      <xdr:col>3</xdr:col>
      <xdr:colOff>383822</xdr:colOff>
      <xdr:row>45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AC439B4-770F-B74A-844A-4792E5FFE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177800</xdr:rowOff>
    </xdr:from>
    <xdr:to>
      <xdr:col>12</xdr:col>
      <xdr:colOff>0</xdr:colOff>
      <xdr:row>21</xdr:row>
      <xdr:rowOff>187325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D63B99-EE85-ED45-8607-86AC157D8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469900</xdr:colOff>
      <xdr:row>19</xdr:row>
      <xdr:rowOff>25400</xdr:rowOff>
    </xdr:from>
    <xdr:to>
      <xdr:col>20</xdr:col>
      <xdr:colOff>139699</xdr:colOff>
      <xdr:row>35</xdr:row>
      <xdr:rowOff>174977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DBE0CAB-95C8-9443-B384-E3F72E8B3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14</xdr:row>
      <xdr:rowOff>0</xdr:rowOff>
    </xdr:from>
    <xdr:to>
      <xdr:col>7</xdr:col>
      <xdr:colOff>38100</xdr:colOff>
      <xdr:row>26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A5A19DB-4E98-EA4E-AF10-9CA9F7B2A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2015393</xdr:colOff>
      <xdr:row>8</xdr:row>
      <xdr:rowOff>0</xdr:rowOff>
    </xdr:from>
    <xdr:to>
      <xdr:col>8</xdr:col>
      <xdr:colOff>0</xdr:colOff>
      <xdr:row>21</xdr:row>
      <xdr:rowOff>127000</xdr:rowOff>
    </xdr:to>
    <xdr:graphicFrame macro="">
      <xdr:nvGraphicFramePr>
        <xdr:cNvPr id="2" name="Graphique 5">
          <a:extLst>
            <a:ext uri="{FF2B5EF4-FFF2-40B4-BE49-F238E27FC236}">
              <a16:creationId xmlns:a16="http://schemas.microsoft.com/office/drawing/2014/main" id="{1EEA1386-7017-7144-AD45-C2E350FD0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5225-C48E-B14B-B9B0-1FCCB2E5A254}">
  <sheetPr>
    <tabColor rgb="FF00B050"/>
  </sheetPr>
  <dimension ref="A1:N32"/>
  <sheetViews>
    <sheetView tabSelected="1" workbookViewId="0">
      <selection activeCell="H27" sqref="H27"/>
    </sheetView>
  </sheetViews>
  <sheetFormatPr baseColWidth="10" defaultRowHeight="15" x14ac:dyDescent="0.2"/>
  <cols>
    <col min="5" max="5" width="7.6640625" customWidth="1"/>
    <col min="10" max="10" width="7.83203125" customWidth="1"/>
  </cols>
  <sheetData>
    <row r="1" spans="1:14" x14ac:dyDescent="0.2">
      <c r="A1" s="117" t="s">
        <v>67</v>
      </c>
      <c r="B1" s="117"/>
      <c r="C1" s="117"/>
      <c r="D1" s="117"/>
      <c r="F1" s="117" t="s">
        <v>139</v>
      </c>
      <c r="G1" s="117"/>
      <c r="H1" s="117"/>
      <c r="I1" s="117"/>
      <c r="K1" s="117" t="s">
        <v>140</v>
      </c>
      <c r="L1" s="117"/>
      <c r="M1" s="117"/>
      <c r="N1" s="117"/>
    </row>
    <row r="2" spans="1:14" x14ac:dyDescent="0.2">
      <c r="A2" s="14" t="s">
        <v>28</v>
      </c>
      <c r="B2" s="14" t="s">
        <v>170</v>
      </c>
      <c r="C2" s="14" t="s">
        <v>171</v>
      </c>
      <c r="D2" s="14" t="s">
        <v>122</v>
      </c>
      <c r="F2" s="14" t="s">
        <v>28</v>
      </c>
      <c r="G2" s="14" t="s">
        <v>170</v>
      </c>
      <c r="H2" s="14" t="s">
        <v>171</v>
      </c>
      <c r="I2" s="14" t="s">
        <v>122</v>
      </c>
      <c r="K2" s="14" t="s">
        <v>28</v>
      </c>
      <c r="L2" s="14" t="s">
        <v>170</v>
      </c>
      <c r="M2" s="14" t="s">
        <v>171</v>
      </c>
      <c r="N2" s="14" t="s">
        <v>122</v>
      </c>
    </row>
    <row r="3" spans="1:14" x14ac:dyDescent="0.2">
      <c r="B3">
        <v>204</v>
      </c>
      <c r="C3">
        <v>223</v>
      </c>
      <c r="D3">
        <f>B3+C3</f>
        <v>427</v>
      </c>
      <c r="G3">
        <v>220</v>
      </c>
      <c r="H3">
        <v>221</v>
      </c>
      <c r="I3">
        <f>G3+H3</f>
        <v>441</v>
      </c>
      <c r="L3">
        <v>112</v>
      </c>
      <c r="M3">
        <v>130</v>
      </c>
      <c r="N3">
        <f>L3+M3</f>
        <v>242</v>
      </c>
    </row>
    <row r="4" spans="1:14" x14ac:dyDescent="0.2">
      <c r="A4" t="s">
        <v>196</v>
      </c>
      <c r="B4">
        <f>(B3/D3)*100</f>
        <v>47.775175644028103</v>
      </c>
      <c r="C4">
        <f>(C3/D3)*100</f>
        <v>52.224824355971897</v>
      </c>
      <c r="D4" s="1"/>
      <c r="F4" t="s">
        <v>196</v>
      </c>
      <c r="G4">
        <f>(G3/I3)*100</f>
        <v>49.886621315192741</v>
      </c>
      <c r="H4">
        <f>(H3/I3)*100</f>
        <v>50.113378684807252</v>
      </c>
      <c r="I4" s="1"/>
      <c r="K4" t="s">
        <v>196</v>
      </c>
      <c r="L4">
        <f>(L3/N3)*100</f>
        <v>46.280991735537192</v>
      </c>
      <c r="M4">
        <f>(M3/N3)*100</f>
        <v>53.719008264462808</v>
      </c>
      <c r="N4" s="1"/>
    </row>
    <row r="6" spans="1:14" x14ac:dyDescent="0.2">
      <c r="A6" s="14" t="s">
        <v>197</v>
      </c>
      <c r="B6" s="14" t="s">
        <v>170</v>
      </c>
      <c r="C6" s="14" t="s">
        <v>171</v>
      </c>
      <c r="D6" s="14" t="s">
        <v>122</v>
      </c>
      <c r="F6" s="14" t="s">
        <v>197</v>
      </c>
      <c r="G6" s="14" t="s">
        <v>170</v>
      </c>
      <c r="H6" s="14" t="s">
        <v>171</v>
      </c>
      <c r="I6" s="14" t="s">
        <v>122</v>
      </c>
      <c r="K6" s="14" t="s">
        <v>197</v>
      </c>
      <c r="L6" s="14" t="s">
        <v>170</v>
      </c>
      <c r="M6" s="14" t="s">
        <v>171</v>
      </c>
      <c r="N6" s="14" t="s">
        <v>122</v>
      </c>
    </row>
    <row r="7" spans="1:14" x14ac:dyDescent="0.2">
      <c r="B7">
        <v>283</v>
      </c>
      <c r="C7">
        <v>224</v>
      </c>
      <c r="D7">
        <f>B7+C7</f>
        <v>507</v>
      </c>
      <c r="G7">
        <v>282</v>
      </c>
      <c r="H7">
        <v>230</v>
      </c>
      <c r="I7">
        <f>G7+H7</f>
        <v>512</v>
      </c>
      <c r="L7">
        <v>201</v>
      </c>
      <c r="M7">
        <v>167</v>
      </c>
      <c r="N7">
        <f>L7+M7</f>
        <v>368</v>
      </c>
    </row>
    <row r="8" spans="1:14" x14ac:dyDescent="0.2">
      <c r="A8" t="s">
        <v>196</v>
      </c>
      <c r="B8">
        <f>(B7/D7)*100</f>
        <v>55.818540433925044</v>
      </c>
      <c r="C8">
        <f>(C7/D7)*100</f>
        <v>44.181459566074949</v>
      </c>
      <c r="D8" s="1"/>
      <c r="F8" t="s">
        <v>196</v>
      </c>
      <c r="G8">
        <f>(G7/I7)*100</f>
        <v>55.078125</v>
      </c>
      <c r="H8">
        <f>(H7/I7)*100</f>
        <v>44.921875</v>
      </c>
      <c r="I8" s="1"/>
      <c r="K8" t="s">
        <v>196</v>
      </c>
      <c r="L8">
        <f>(L7/N7)*100</f>
        <v>54.619565217391312</v>
      </c>
      <c r="M8">
        <f>(M7/N7)*100</f>
        <v>45.380434782608695</v>
      </c>
      <c r="N8" s="1"/>
    </row>
    <row r="9" spans="1:14" x14ac:dyDescent="0.2">
      <c r="D9" s="79"/>
    </row>
    <row r="10" spans="1:14" x14ac:dyDescent="0.2">
      <c r="A10" s="118" t="s">
        <v>100</v>
      </c>
      <c r="B10" s="118"/>
      <c r="C10" s="118"/>
      <c r="D10" s="118"/>
      <c r="E10" s="118"/>
      <c r="F10" s="118"/>
      <c r="G10" s="118"/>
      <c r="H10" s="118"/>
      <c r="I10" s="118"/>
    </row>
    <row r="12" spans="1:14" x14ac:dyDescent="0.2">
      <c r="A12" s="14" t="s">
        <v>28</v>
      </c>
      <c r="B12" s="14" t="s">
        <v>170</v>
      </c>
      <c r="C12" s="14" t="s">
        <v>171</v>
      </c>
      <c r="D12" s="14" t="s">
        <v>122</v>
      </c>
      <c r="F12" s="14" t="s">
        <v>197</v>
      </c>
      <c r="G12" s="14" t="s">
        <v>170</v>
      </c>
      <c r="H12" s="14" t="s">
        <v>171</v>
      </c>
      <c r="I12" s="14" t="s">
        <v>122</v>
      </c>
    </row>
    <row r="13" spans="1:14" x14ac:dyDescent="0.2">
      <c r="B13">
        <f>AVERAGE(B3,G3,L3)</f>
        <v>178.66666666666666</v>
      </c>
      <c r="C13">
        <f>AVERAGE(C3,H3,M3)</f>
        <v>191.33333333333334</v>
      </c>
      <c r="D13">
        <f>AVERAGE(D3,I3,N3)</f>
        <v>370</v>
      </c>
      <c r="G13">
        <f>AVERAGE(B7,G7,L7)</f>
        <v>255.33333333333334</v>
      </c>
      <c r="H13">
        <f>AVERAGE(C7,H7,M7)</f>
        <v>207</v>
      </c>
      <c r="I13" s="70">
        <f>AVERAGE(D7,I7,N7)</f>
        <v>462.33333333333331</v>
      </c>
    </row>
    <row r="14" spans="1:14" x14ac:dyDescent="0.2">
      <c r="B14">
        <f>AVERAGE(B4,G4,L4)</f>
        <v>47.980929564919343</v>
      </c>
      <c r="C14">
        <f>AVERAGE(C4,H4,M4)</f>
        <v>52.019070435080657</v>
      </c>
      <c r="G14">
        <f>AVERAGE(B8,G8,L8)</f>
        <v>55.172076883772121</v>
      </c>
      <c r="H14">
        <f>AVERAGE(C8,H8,M8)</f>
        <v>44.827923116227879</v>
      </c>
    </row>
    <row r="15" spans="1:14" x14ac:dyDescent="0.2">
      <c r="B15">
        <f>STDEVA(B14,(B4),(G4),(L4))</f>
        <v>1.4791646681811894</v>
      </c>
      <c r="C15">
        <f>STDEVA(C14,(C4),(H4),(M4))</f>
        <v>1.4791646681811925</v>
      </c>
      <c r="D15" s="14" t="s">
        <v>63</v>
      </c>
      <c r="G15">
        <f>STDEVA(G14,B8,G8,L8)</f>
        <v>0.49396734697330935</v>
      </c>
      <c r="H15">
        <f>STDEVA(H14,C8,H8,M8)</f>
        <v>0.49396734697331518</v>
      </c>
      <c r="I15" s="14" t="s">
        <v>63</v>
      </c>
    </row>
    <row r="16" spans="1:14" x14ac:dyDescent="0.2">
      <c r="B16">
        <f>(B15/SQRT(3))</f>
        <v>0.85399611935019326</v>
      </c>
      <c r="C16">
        <f>(C15/SQRT(3))</f>
        <v>0.85399611935019504</v>
      </c>
      <c r="D16" s="14" t="s">
        <v>59</v>
      </c>
      <c r="G16">
        <f>(G15/SQRT(3))</f>
        <v>0.28519218074592545</v>
      </c>
      <c r="H16">
        <f>(H15/SQRT(3))</f>
        <v>0.28519218074592878</v>
      </c>
      <c r="I16" s="14" t="s">
        <v>59</v>
      </c>
    </row>
    <row r="19" spans="1:12" x14ac:dyDescent="0.2">
      <c r="A19" t="s">
        <v>31</v>
      </c>
      <c r="D19" s="110" t="s">
        <v>198</v>
      </c>
      <c r="E19" s="110"/>
      <c r="G19" s="16" t="s">
        <v>71</v>
      </c>
      <c r="H19">
        <f>F29</f>
        <v>2.8550457576749944E-3</v>
      </c>
    </row>
    <row r="21" spans="1:12" ht="16" thickBot="1" x14ac:dyDescent="0.25">
      <c r="A21" t="s">
        <v>34</v>
      </c>
    </row>
    <row r="22" spans="1:12" x14ac:dyDescent="0.2">
      <c r="A22" s="3" t="s">
        <v>35</v>
      </c>
      <c r="B22" s="3" t="s">
        <v>36</v>
      </c>
      <c r="C22" s="3" t="s">
        <v>37</v>
      </c>
      <c r="D22" s="3" t="s">
        <v>38</v>
      </c>
      <c r="E22" s="3" t="s">
        <v>39</v>
      </c>
    </row>
    <row r="23" spans="1:12" x14ac:dyDescent="0.2">
      <c r="A23" t="s">
        <v>41</v>
      </c>
      <c r="B23">
        <v>3</v>
      </c>
      <c r="C23">
        <v>143.942789</v>
      </c>
      <c r="D23">
        <v>47.980929666666668</v>
      </c>
      <c r="E23">
        <v>3.2818910499203335</v>
      </c>
    </row>
    <row r="24" spans="1:12" ht="16" thickBot="1" x14ac:dyDescent="0.25">
      <c r="A24" s="4" t="s">
        <v>42</v>
      </c>
      <c r="B24" s="4">
        <v>3</v>
      </c>
      <c r="C24" s="4">
        <v>165.51623000000001</v>
      </c>
      <c r="D24" s="4">
        <v>55.172076666666669</v>
      </c>
      <c r="E24" s="4">
        <v>0.36600544940833168</v>
      </c>
    </row>
    <row r="27" spans="1:12" ht="16" thickBot="1" x14ac:dyDescent="0.25">
      <c r="A27" t="s">
        <v>44</v>
      </c>
    </row>
    <row r="28" spans="1:12" x14ac:dyDescent="0.2">
      <c r="A28" s="3" t="s">
        <v>45</v>
      </c>
      <c r="B28" s="3" t="s">
        <v>46</v>
      </c>
      <c r="C28" s="3" t="s">
        <v>47</v>
      </c>
      <c r="D28" s="3" t="s">
        <v>48</v>
      </c>
      <c r="E28" s="3" t="s">
        <v>49</v>
      </c>
      <c r="F28" s="3" t="s">
        <v>50</v>
      </c>
      <c r="G28" s="3" t="s">
        <v>51</v>
      </c>
    </row>
    <row r="29" spans="1:12" x14ac:dyDescent="0.2">
      <c r="A29" t="s">
        <v>52</v>
      </c>
      <c r="B29">
        <v>77.568892763413515</v>
      </c>
      <c r="C29">
        <v>1</v>
      </c>
      <c r="D29">
        <v>77.568892763413515</v>
      </c>
      <c r="E29">
        <v>42.528011843367146</v>
      </c>
      <c r="F29">
        <v>2.8550457576749944E-3</v>
      </c>
      <c r="G29">
        <v>7.708647422176786</v>
      </c>
      <c r="K29" s="114" t="s">
        <v>425</v>
      </c>
      <c r="L29" s="114"/>
    </row>
    <row r="30" spans="1:12" x14ac:dyDescent="0.2">
      <c r="A30" t="s">
        <v>53</v>
      </c>
      <c r="B30">
        <v>7.2957929986573307</v>
      </c>
      <c r="C30">
        <v>4</v>
      </c>
      <c r="D30">
        <v>1.8239482496643327</v>
      </c>
      <c r="K30" s="11" t="s">
        <v>54</v>
      </c>
      <c r="L30" s="12"/>
    </row>
    <row r="32" spans="1:12" ht="16" thickBot="1" x14ac:dyDescent="0.25">
      <c r="A32" s="4" t="s">
        <v>55</v>
      </c>
      <c r="B32" s="4">
        <v>84.864685762070849</v>
      </c>
      <c r="C32" s="4">
        <v>5</v>
      </c>
      <c r="D32" s="4"/>
      <c r="E32" s="4"/>
      <c r="F32" s="4"/>
      <c r="G32" s="4"/>
    </row>
  </sheetData>
  <mergeCells count="6">
    <mergeCell ref="K29:L29"/>
    <mergeCell ref="A1:D1"/>
    <mergeCell ref="F1:I1"/>
    <mergeCell ref="K1:N1"/>
    <mergeCell ref="A10:I10"/>
    <mergeCell ref="D19:E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66BE-EC43-E441-B7E4-B69211890279}">
  <sheetPr>
    <tabColor rgb="FF00B050"/>
  </sheetPr>
  <dimension ref="A1:N51"/>
  <sheetViews>
    <sheetView workbookViewId="0">
      <selection activeCell="A18" sqref="A18:B19"/>
    </sheetView>
  </sheetViews>
  <sheetFormatPr baseColWidth="10" defaultRowHeight="15" x14ac:dyDescent="0.2"/>
  <cols>
    <col min="1" max="1" width="19.5" customWidth="1"/>
    <col min="5" max="5" width="9" customWidth="1"/>
    <col min="6" max="6" width="24.6640625" customWidth="1"/>
    <col min="7" max="7" width="14.5" customWidth="1"/>
    <col min="10" max="10" width="7.33203125" customWidth="1"/>
    <col min="11" max="11" width="27" customWidth="1"/>
  </cols>
  <sheetData>
    <row r="1" spans="1:14" x14ac:dyDescent="0.2">
      <c r="A1" s="81" t="s">
        <v>113</v>
      </c>
      <c r="B1" t="s">
        <v>170</v>
      </c>
      <c r="C1" t="s">
        <v>171</v>
      </c>
      <c r="D1" t="s">
        <v>55</v>
      </c>
      <c r="F1" s="81" t="s">
        <v>114</v>
      </c>
      <c r="G1" t="s">
        <v>170</v>
      </c>
      <c r="H1" t="s">
        <v>171</v>
      </c>
      <c r="I1" t="s">
        <v>55</v>
      </c>
      <c r="K1" s="81" t="s">
        <v>129</v>
      </c>
      <c r="L1" t="s">
        <v>170</v>
      </c>
      <c r="M1" t="s">
        <v>171</v>
      </c>
      <c r="N1" t="s">
        <v>55</v>
      </c>
    </row>
    <row r="2" spans="1:14" x14ac:dyDescent="0.2">
      <c r="A2" s="14" t="s">
        <v>155</v>
      </c>
      <c r="B2">
        <v>125</v>
      </c>
      <c r="C2">
        <v>145</v>
      </c>
      <c r="D2">
        <v>270</v>
      </c>
      <c r="F2" s="14" t="s">
        <v>155</v>
      </c>
      <c r="G2">
        <v>170</v>
      </c>
      <c r="H2">
        <v>194</v>
      </c>
      <c r="I2">
        <v>364</v>
      </c>
      <c r="K2" s="14" t="s">
        <v>155</v>
      </c>
      <c r="L2">
        <v>149</v>
      </c>
      <c r="M2">
        <v>133</v>
      </c>
      <c r="N2">
        <f>L2+M2</f>
        <v>282</v>
      </c>
    </row>
    <row r="3" spans="1:14" x14ac:dyDescent="0.2">
      <c r="A3" s="14" t="s">
        <v>156</v>
      </c>
      <c r="B3">
        <f>(B2/D2)*100</f>
        <v>46.296296296296298</v>
      </c>
      <c r="C3">
        <f>(C2/D2)*100</f>
        <v>53.703703703703709</v>
      </c>
      <c r="F3" s="14" t="s">
        <v>156</v>
      </c>
      <c r="G3">
        <f>(G2/I2)*100</f>
        <v>46.703296703296701</v>
      </c>
      <c r="H3">
        <f>(H2/I2)*100</f>
        <v>53.296703296703299</v>
      </c>
      <c r="K3" s="14" t="s">
        <v>156</v>
      </c>
      <c r="L3">
        <f>(L2/N2)*100</f>
        <v>52.836879432624116</v>
      </c>
      <c r="M3">
        <f>(M2/N2)*100</f>
        <v>47.163120567375891</v>
      </c>
    </row>
    <row r="4" spans="1:14" x14ac:dyDescent="0.2">
      <c r="A4" s="14" t="s">
        <v>157</v>
      </c>
      <c r="B4">
        <v>102</v>
      </c>
      <c r="C4">
        <v>166</v>
      </c>
      <c r="D4">
        <v>268</v>
      </c>
      <c r="F4" s="14" t="s">
        <v>157</v>
      </c>
      <c r="G4">
        <v>146</v>
      </c>
      <c r="H4">
        <v>224</v>
      </c>
      <c r="I4">
        <f>146+224</f>
        <v>370</v>
      </c>
      <c r="K4" s="14" t="s">
        <v>157</v>
      </c>
      <c r="L4">
        <v>101</v>
      </c>
      <c r="M4">
        <v>154</v>
      </c>
      <c r="N4">
        <f>L4+M4</f>
        <v>255</v>
      </c>
    </row>
    <row r="5" spans="1:14" x14ac:dyDescent="0.2">
      <c r="A5" s="14" t="s">
        <v>156</v>
      </c>
      <c r="B5">
        <f>(B4/D4)*100</f>
        <v>38.059701492537314</v>
      </c>
      <c r="C5">
        <f>(C4/D4)*100</f>
        <v>61.940298507462686</v>
      </c>
      <c r="F5" s="14" t="s">
        <v>156</v>
      </c>
      <c r="G5">
        <f>(G4/I4)*100</f>
        <v>39.45945945945946</v>
      </c>
      <c r="H5">
        <f>(H4/I4)*100</f>
        <v>60.540540540540547</v>
      </c>
      <c r="K5" s="14" t="s">
        <v>156</v>
      </c>
      <c r="L5">
        <f>(L4/N4)*100</f>
        <v>39.607843137254903</v>
      </c>
      <c r="M5">
        <f>(M4/N4)*100</f>
        <v>60.392156862745097</v>
      </c>
    </row>
    <row r="6" spans="1:14" x14ac:dyDescent="0.2">
      <c r="A6" s="14" t="s">
        <v>158</v>
      </c>
      <c r="B6">
        <v>218</v>
      </c>
      <c r="C6">
        <v>152</v>
      </c>
      <c r="D6">
        <v>370</v>
      </c>
      <c r="F6" s="14" t="s">
        <v>158</v>
      </c>
      <c r="G6">
        <v>232</v>
      </c>
      <c r="H6">
        <v>163</v>
      </c>
      <c r="I6">
        <v>395</v>
      </c>
      <c r="K6" s="14" t="s">
        <v>158</v>
      </c>
      <c r="L6">
        <v>215</v>
      </c>
      <c r="M6">
        <v>155</v>
      </c>
      <c r="N6">
        <f>L6+M6</f>
        <v>370</v>
      </c>
    </row>
    <row r="7" spans="1:14" x14ac:dyDescent="0.2">
      <c r="A7" s="14" t="s">
        <v>156</v>
      </c>
      <c r="B7">
        <f>(B6/D6)*100</f>
        <v>58.918918918918919</v>
      </c>
      <c r="C7">
        <f>(C6/D6)*100</f>
        <v>41.081081081081081</v>
      </c>
      <c r="F7" s="14" t="s">
        <v>156</v>
      </c>
      <c r="G7">
        <f>(G6/I6)*100</f>
        <v>58.734177215189874</v>
      </c>
      <c r="H7">
        <f>(H6/I6)*100</f>
        <v>41.265822784810126</v>
      </c>
      <c r="K7" s="14" t="s">
        <v>156</v>
      </c>
      <c r="L7">
        <f>(L6/N6)*100</f>
        <v>58.108108108108105</v>
      </c>
      <c r="M7">
        <f>(M6/N6)*100</f>
        <v>41.891891891891895</v>
      </c>
    </row>
    <row r="9" spans="1:14" x14ac:dyDescent="0.2">
      <c r="A9" s="80" t="s">
        <v>202</v>
      </c>
    </row>
    <row r="10" spans="1:14" x14ac:dyDescent="0.2">
      <c r="B10" t="s">
        <v>170</v>
      </c>
      <c r="C10" t="s">
        <v>171</v>
      </c>
      <c r="D10" s="14" t="s">
        <v>63</v>
      </c>
      <c r="E10" s="14" t="s">
        <v>59</v>
      </c>
    </row>
    <row r="11" spans="1:14" x14ac:dyDescent="0.2">
      <c r="A11" s="14" t="s">
        <v>199</v>
      </c>
      <c r="B11">
        <f t="shared" ref="B11:C16" si="0">AVERAGE(B2,G2,L2)</f>
        <v>148</v>
      </c>
      <c r="C11">
        <f t="shared" si="0"/>
        <v>157.33333333333334</v>
      </c>
    </row>
    <row r="12" spans="1:14" x14ac:dyDescent="0.2">
      <c r="A12" s="14" t="s">
        <v>156</v>
      </c>
      <c r="B12">
        <f t="shared" si="0"/>
        <v>48.612157477405709</v>
      </c>
      <c r="C12">
        <f t="shared" si="0"/>
        <v>51.387842522594298</v>
      </c>
      <c r="D12">
        <f>STDEVA(B3,G3,L3)</f>
        <v>3.6643715739541176</v>
      </c>
      <c r="E12">
        <f>D12/SQRT(3)</f>
        <v>2.1156259146332226</v>
      </c>
    </row>
    <row r="13" spans="1:14" x14ac:dyDescent="0.2">
      <c r="A13" s="14" t="s">
        <v>200</v>
      </c>
      <c r="B13">
        <f t="shared" si="0"/>
        <v>116.33333333333333</v>
      </c>
      <c r="C13">
        <f t="shared" si="0"/>
        <v>181.33333333333334</v>
      </c>
    </row>
    <row r="14" spans="1:14" x14ac:dyDescent="0.2">
      <c r="A14" s="14" t="s">
        <v>156</v>
      </c>
      <c r="B14">
        <f t="shared" si="0"/>
        <v>39.042334696417228</v>
      </c>
      <c r="C14">
        <f t="shared" si="0"/>
        <v>60.957665303582779</v>
      </c>
      <c r="D14">
        <f>STDEVA(B5,G5,L5)</f>
        <v>0.8542133451219901</v>
      </c>
      <c r="E14">
        <f t="shared" ref="E14:E16" si="1">D14/SQRT(3)</f>
        <v>0.49318030475155172</v>
      </c>
      <c r="F14" s="59" t="s">
        <v>205</v>
      </c>
    </row>
    <row r="15" spans="1:14" x14ac:dyDescent="0.2">
      <c r="A15" s="14" t="s">
        <v>201</v>
      </c>
      <c r="B15">
        <f t="shared" si="0"/>
        <v>221.66666666666666</v>
      </c>
      <c r="C15">
        <f t="shared" si="0"/>
        <v>156.66666666666666</v>
      </c>
    </row>
    <row r="16" spans="1:14" x14ac:dyDescent="0.2">
      <c r="A16" s="14" t="s">
        <v>156</v>
      </c>
      <c r="B16">
        <f t="shared" si="0"/>
        <v>58.587068080738966</v>
      </c>
      <c r="C16">
        <f t="shared" si="0"/>
        <v>41.412931919261034</v>
      </c>
      <c r="D16">
        <f>STDEVA(B7,G7,L7)</f>
        <v>0.42495219238297133</v>
      </c>
      <c r="E16">
        <f t="shared" si="1"/>
        <v>0.24534626266503015</v>
      </c>
      <c r="F16" s="59" t="s">
        <v>206</v>
      </c>
    </row>
    <row r="18" spans="1:7" x14ac:dyDescent="0.2">
      <c r="A18" s="107" t="s">
        <v>60</v>
      </c>
      <c r="B18" t="s">
        <v>408</v>
      </c>
    </row>
    <row r="19" spans="1:7" x14ac:dyDescent="0.2">
      <c r="A19" s="164" t="s">
        <v>54</v>
      </c>
      <c r="B19" s="166"/>
    </row>
    <row r="21" spans="1:7" x14ac:dyDescent="0.2">
      <c r="A21" t="s">
        <v>31</v>
      </c>
      <c r="D21" s="14" t="s">
        <v>203</v>
      </c>
    </row>
    <row r="23" spans="1:7" ht="16" thickBot="1" x14ac:dyDescent="0.25">
      <c r="A23" t="s">
        <v>34</v>
      </c>
    </row>
    <row r="24" spans="1:7" x14ac:dyDescent="0.2">
      <c r="A24" s="3" t="s">
        <v>35</v>
      </c>
      <c r="B24" s="3" t="s">
        <v>36</v>
      </c>
      <c r="C24" s="3" t="s">
        <v>37</v>
      </c>
      <c r="D24" s="3" t="s">
        <v>38</v>
      </c>
      <c r="E24" s="3" t="s">
        <v>39</v>
      </c>
    </row>
    <row r="25" spans="1:7" x14ac:dyDescent="0.2">
      <c r="A25" t="s">
        <v>41</v>
      </c>
      <c r="B25">
        <v>3</v>
      </c>
      <c r="C25">
        <v>146.83647239999999</v>
      </c>
      <c r="D25">
        <v>48.945490799999995</v>
      </c>
      <c r="E25">
        <v>11.852091458557506</v>
      </c>
    </row>
    <row r="26" spans="1:7" ht="16" thickBot="1" x14ac:dyDescent="0.25">
      <c r="A26" s="4" t="s">
        <v>42</v>
      </c>
      <c r="B26" s="4">
        <v>3</v>
      </c>
      <c r="C26" s="4">
        <v>117.12700409</v>
      </c>
      <c r="D26" s="4">
        <v>39.042334696666664</v>
      </c>
      <c r="E26" s="4">
        <v>0.72968043732024879</v>
      </c>
    </row>
    <row r="29" spans="1:7" ht="16" thickBot="1" x14ac:dyDescent="0.25">
      <c r="A29" t="s">
        <v>44</v>
      </c>
    </row>
    <row r="30" spans="1:7" x14ac:dyDescent="0.2">
      <c r="A30" s="3" t="s">
        <v>45</v>
      </c>
      <c r="B30" s="3" t="s">
        <v>46</v>
      </c>
      <c r="C30" s="3" t="s">
        <v>47</v>
      </c>
      <c r="D30" s="3" t="s">
        <v>48</v>
      </c>
      <c r="E30" s="3" t="s">
        <v>49</v>
      </c>
      <c r="F30" s="3" t="s">
        <v>50</v>
      </c>
      <c r="G30" s="3" t="s">
        <v>51</v>
      </c>
    </row>
    <row r="31" spans="1:7" x14ac:dyDescent="0.2">
      <c r="A31" t="s">
        <v>52</v>
      </c>
      <c r="B31">
        <v>147.10875121048244</v>
      </c>
      <c r="C31">
        <v>1</v>
      </c>
      <c r="D31">
        <v>147.10875121048244</v>
      </c>
      <c r="E31">
        <v>23.38442509177592</v>
      </c>
      <c r="F31">
        <v>8.4260584103221636E-3</v>
      </c>
      <c r="G31">
        <v>7.708647422176786</v>
      </c>
    </row>
    <row r="32" spans="1:7" x14ac:dyDescent="0.2">
      <c r="A32" t="s">
        <v>53</v>
      </c>
      <c r="B32">
        <v>25.163543791755512</v>
      </c>
      <c r="C32">
        <v>4</v>
      </c>
      <c r="D32">
        <v>6.2908859479388779</v>
      </c>
    </row>
    <row r="34" spans="1:7" ht="16" thickBot="1" x14ac:dyDescent="0.25">
      <c r="A34" s="4" t="s">
        <v>55</v>
      </c>
      <c r="B34" s="4">
        <v>172.27229500223794</v>
      </c>
      <c r="C34" s="4">
        <v>5</v>
      </c>
      <c r="D34" s="4"/>
      <c r="E34" s="4"/>
      <c r="F34" s="4"/>
      <c r="G34" s="4"/>
    </row>
    <row r="35" spans="1:7" ht="16" thickBot="1" x14ac:dyDescent="0.25">
      <c r="A35" s="4" t="s">
        <v>55</v>
      </c>
      <c r="B35" s="4">
        <v>598.55382841702715</v>
      </c>
      <c r="C35" s="4">
        <v>8</v>
      </c>
      <c r="D35" s="4"/>
      <c r="E35" s="4"/>
      <c r="F35" s="4"/>
      <c r="G35" s="4"/>
    </row>
    <row r="38" spans="1:7" x14ac:dyDescent="0.2">
      <c r="A38" t="s">
        <v>31</v>
      </c>
      <c r="D38" s="14" t="s">
        <v>204</v>
      </c>
    </row>
    <row r="40" spans="1:7" ht="16" thickBot="1" x14ac:dyDescent="0.25">
      <c r="A40" t="s">
        <v>34</v>
      </c>
    </row>
    <row r="41" spans="1:7" x14ac:dyDescent="0.2">
      <c r="A41" s="3" t="s">
        <v>35</v>
      </c>
      <c r="B41" s="3" t="s">
        <v>36</v>
      </c>
      <c r="C41" s="3" t="s">
        <v>37</v>
      </c>
      <c r="D41" s="3" t="s">
        <v>38</v>
      </c>
      <c r="E41" s="3" t="s">
        <v>39</v>
      </c>
    </row>
    <row r="42" spans="1:7" x14ac:dyDescent="0.2">
      <c r="A42" t="s">
        <v>41</v>
      </c>
      <c r="B42">
        <v>3</v>
      </c>
      <c r="C42">
        <v>146.83647239999999</v>
      </c>
      <c r="D42">
        <v>48.945490799999995</v>
      </c>
      <c r="E42">
        <v>11.852091458557506</v>
      </c>
    </row>
    <row r="43" spans="1:7" ht="16" thickBot="1" x14ac:dyDescent="0.25">
      <c r="A43" s="4" t="s">
        <v>42</v>
      </c>
      <c r="B43" s="4">
        <v>3</v>
      </c>
      <c r="C43" s="4">
        <v>175.76120422</v>
      </c>
      <c r="D43" s="4">
        <v>58.587068073333334</v>
      </c>
      <c r="E43" s="4">
        <v>0.18058436781873954</v>
      </c>
    </row>
    <row r="46" spans="1:7" ht="16" thickBot="1" x14ac:dyDescent="0.25">
      <c r="A46" t="s">
        <v>44</v>
      </c>
    </row>
    <row r="47" spans="1:7" x14ac:dyDescent="0.2">
      <c r="A47" s="3" t="s">
        <v>45</v>
      </c>
      <c r="B47" s="3" t="s">
        <v>46</v>
      </c>
      <c r="C47" s="3" t="s">
        <v>47</v>
      </c>
      <c r="D47" s="3" t="s">
        <v>48</v>
      </c>
      <c r="E47" s="3" t="s">
        <v>49</v>
      </c>
      <c r="F47" s="3" t="s">
        <v>50</v>
      </c>
      <c r="G47" s="3" t="s">
        <v>51</v>
      </c>
    </row>
    <row r="48" spans="1:7" x14ac:dyDescent="0.2">
      <c r="A48" t="s">
        <v>52</v>
      </c>
      <c r="B48">
        <v>139.44001847648673</v>
      </c>
      <c r="C48">
        <v>1</v>
      </c>
      <c r="D48">
        <v>139.44001847648673</v>
      </c>
      <c r="E48">
        <v>23.176892735833043</v>
      </c>
      <c r="F48">
        <v>8.5588423648933452E-3</v>
      </c>
      <c r="G48">
        <v>7.708647422176786</v>
      </c>
    </row>
    <row r="49" spans="1:7" x14ac:dyDescent="0.2">
      <c r="A49" t="s">
        <v>53</v>
      </c>
      <c r="B49">
        <v>24.06535165275249</v>
      </c>
      <c r="C49">
        <v>4</v>
      </c>
      <c r="D49">
        <v>6.0163379131881225</v>
      </c>
    </row>
    <row r="51" spans="1:7" ht="16" thickBot="1" x14ac:dyDescent="0.25">
      <c r="A51" s="4" t="s">
        <v>55</v>
      </c>
      <c r="B51" s="4">
        <v>163.50537012923922</v>
      </c>
      <c r="C51" s="4">
        <v>5</v>
      </c>
      <c r="D51" s="4"/>
      <c r="E51" s="4"/>
      <c r="F51" s="4"/>
      <c r="G51" s="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B8BF3-A224-AE43-85F7-4399D96FCD1D}">
  <sheetPr>
    <tabColor rgb="FF00B050"/>
  </sheetPr>
  <dimension ref="A1:T22"/>
  <sheetViews>
    <sheetView workbookViewId="0">
      <selection activeCell="Q10" sqref="Q10:R11"/>
    </sheetView>
  </sheetViews>
  <sheetFormatPr baseColWidth="10" defaultRowHeight="15" x14ac:dyDescent="0.2"/>
  <sheetData>
    <row r="1" spans="1:20" x14ac:dyDescent="0.2">
      <c r="A1" s="99" t="s">
        <v>113</v>
      </c>
      <c r="B1" t="s">
        <v>170</v>
      </c>
      <c r="C1" t="s">
        <v>171</v>
      </c>
      <c r="D1" t="s">
        <v>55</v>
      </c>
      <c r="F1" s="99" t="s">
        <v>114</v>
      </c>
      <c r="G1" t="s">
        <v>170</v>
      </c>
      <c r="H1" t="s">
        <v>171</v>
      </c>
      <c r="I1" t="s">
        <v>55</v>
      </c>
      <c r="K1" s="99" t="s">
        <v>129</v>
      </c>
      <c r="L1" t="s">
        <v>170</v>
      </c>
      <c r="M1" t="s">
        <v>171</v>
      </c>
      <c r="N1" t="s">
        <v>55</v>
      </c>
      <c r="P1" s="99" t="s">
        <v>172</v>
      </c>
      <c r="Q1" s="14" t="s">
        <v>170</v>
      </c>
      <c r="R1" s="14" t="s">
        <v>171</v>
      </c>
      <c r="S1" s="14" t="s">
        <v>63</v>
      </c>
      <c r="T1" s="14" t="s">
        <v>59</v>
      </c>
    </row>
    <row r="2" spans="1:20" x14ac:dyDescent="0.2">
      <c r="A2" s="14" t="s">
        <v>321</v>
      </c>
      <c r="B2">
        <v>72</v>
      </c>
      <c r="C2">
        <v>127</v>
      </c>
      <c r="D2">
        <f>B2+C2</f>
        <v>199</v>
      </c>
      <c r="F2" s="14" t="s">
        <v>321</v>
      </c>
      <c r="G2">
        <v>71</v>
      </c>
      <c r="H2">
        <v>112</v>
      </c>
      <c r="I2">
        <f>G2+H2</f>
        <v>183</v>
      </c>
      <c r="K2" s="14" t="s">
        <v>321</v>
      </c>
      <c r="L2">
        <v>54</v>
      </c>
      <c r="M2">
        <v>85</v>
      </c>
      <c r="N2">
        <f>L2+M2</f>
        <v>139</v>
      </c>
      <c r="P2" s="14" t="s">
        <v>321</v>
      </c>
      <c r="Q2">
        <v>65.666666666666671</v>
      </c>
      <c r="R2">
        <v>108</v>
      </c>
    </row>
    <row r="3" spans="1:20" x14ac:dyDescent="0.2">
      <c r="A3" s="14" t="s">
        <v>156</v>
      </c>
      <c r="B3">
        <f>(B2/D2)*100</f>
        <v>36.180904522613069</v>
      </c>
      <c r="C3">
        <f>(C2/D2)*100</f>
        <v>63.819095477386931</v>
      </c>
      <c r="F3" s="14" t="s">
        <v>156</v>
      </c>
      <c r="G3">
        <f>(G2/I2)*100</f>
        <v>38.797814207650269</v>
      </c>
      <c r="H3">
        <f>(H2/I2)*100</f>
        <v>61.202185792349731</v>
      </c>
      <c r="K3" s="14" t="s">
        <v>156</v>
      </c>
      <c r="L3">
        <f>(L2/N2)*100</f>
        <v>38.848920863309353</v>
      </c>
      <c r="M3">
        <f>(M2/N2)*100</f>
        <v>61.151079136690647</v>
      </c>
      <c r="P3" s="14" t="s">
        <v>156</v>
      </c>
      <c r="Q3">
        <v>37.942546531190892</v>
      </c>
      <c r="R3">
        <v>62.057453468809108</v>
      </c>
      <c r="S3">
        <v>1.5258407182116869</v>
      </c>
      <c r="T3">
        <v>0.88094454940000932</v>
      </c>
    </row>
    <row r="4" spans="1:20" x14ac:dyDescent="0.2">
      <c r="A4" s="14" t="s">
        <v>322</v>
      </c>
      <c r="B4">
        <v>55</v>
      </c>
      <c r="C4">
        <v>75</v>
      </c>
      <c r="D4">
        <f>B4+C4</f>
        <v>130</v>
      </c>
      <c r="F4" s="14" t="s">
        <v>322</v>
      </c>
      <c r="G4">
        <v>50</v>
      </c>
      <c r="H4">
        <v>62</v>
      </c>
      <c r="I4">
        <f>G4+H4</f>
        <v>112</v>
      </c>
      <c r="K4" s="14" t="s">
        <v>322</v>
      </c>
      <c r="L4">
        <v>60</v>
      </c>
      <c r="M4">
        <v>61</v>
      </c>
      <c r="N4">
        <f>L4+M4</f>
        <v>121</v>
      </c>
      <c r="P4" s="14" t="s">
        <v>322</v>
      </c>
      <c r="Q4">
        <v>55</v>
      </c>
      <c r="R4">
        <v>66</v>
      </c>
    </row>
    <row r="5" spans="1:20" x14ac:dyDescent="0.2">
      <c r="A5" s="14" t="s">
        <v>156</v>
      </c>
      <c r="B5">
        <f>(B4/D4)*100</f>
        <v>42.307692307692307</v>
      </c>
      <c r="C5">
        <f>(C4/D4)*100</f>
        <v>57.692307692307686</v>
      </c>
      <c r="F5" s="14" t="s">
        <v>156</v>
      </c>
      <c r="G5">
        <f>(G4/I4)*100</f>
        <v>44.642857142857146</v>
      </c>
      <c r="H5">
        <f>(H4/I4)*100</f>
        <v>55.357142857142861</v>
      </c>
      <c r="K5" s="14" t="s">
        <v>156</v>
      </c>
      <c r="L5">
        <f>(L4/N4)*100</f>
        <v>49.586776859504134</v>
      </c>
      <c r="M5">
        <f>(M4/N4)*100</f>
        <v>50.413223140495866</v>
      </c>
      <c r="P5" s="14" t="s">
        <v>156</v>
      </c>
      <c r="Q5">
        <v>45.512442103351198</v>
      </c>
      <c r="R5">
        <v>54.487557896648802</v>
      </c>
      <c r="S5">
        <v>3.7166384651650581</v>
      </c>
      <c r="T5">
        <v>2.1458022183435639</v>
      </c>
    </row>
    <row r="6" spans="1:20" x14ac:dyDescent="0.2">
      <c r="A6" s="14" t="s">
        <v>323</v>
      </c>
      <c r="B6">
        <v>105</v>
      </c>
      <c r="C6">
        <v>82</v>
      </c>
      <c r="D6">
        <f>B6+C6</f>
        <v>187</v>
      </c>
      <c r="F6" s="14" t="s">
        <v>323</v>
      </c>
      <c r="G6">
        <v>94</v>
      </c>
      <c r="H6">
        <v>85</v>
      </c>
      <c r="I6">
        <f>G6+H6</f>
        <v>179</v>
      </c>
      <c r="K6" s="14" t="s">
        <v>323</v>
      </c>
      <c r="L6">
        <v>71</v>
      </c>
      <c r="M6">
        <v>51</v>
      </c>
      <c r="N6">
        <f>L6+M6</f>
        <v>122</v>
      </c>
      <c r="P6" s="14" t="s">
        <v>323</v>
      </c>
      <c r="Q6">
        <v>90</v>
      </c>
      <c r="R6">
        <v>72.666666666666671</v>
      </c>
    </row>
    <row r="7" spans="1:20" x14ac:dyDescent="0.2">
      <c r="A7" s="14" t="s">
        <v>156</v>
      </c>
      <c r="B7">
        <f>(B6/D6)*100</f>
        <v>56.149732620320862</v>
      </c>
      <c r="C7">
        <f>(C6/D6)*100</f>
        <v>43.850267379679138</v>
      </c>
      <c r="F7" s="14" t="s">
        <v>156</v>
      </c>
      <c r="G7">
        <f>(G6/I6)*100</f>
        <v>52.513966480446925</v>
      </c>
      <c r="H7">
        <f>(H6/I6)*100</f>
        <v>47.486033519553075</v>
      </c>
      <c r="K7" s="14" t="s">
        <v>156</v>
      </c>
      <c r="L7">
        <f>(L6/N6)*100</f>
        <v>58.196721311475407</v>
      </c>
      <c r="M7">
        <f>(M6/N6)*100</f>
        <v>41.803278688524593</v>
      </c>
      <c r="P7" s="14" t="s">
        <v>156</v>
      </c>
      <c r="Q7">
        <v>55.620140137414403</v>
      </c>
      <c r="R7">
        <v>44.379859862585597</v>
      </c>
      <c r="S7">
        <v>2.8781550976029182</v>
      </c>
      <c r="T7">
        <v>1.6617036203705386</v>
      </c>
    </row>
    <row r="9" spans="1:20" x14ac:dyDescent="0.2">
      <c r="A9" t="s">
        <v>31</v>
      </c>
      <c r="D9" s="14" t="s">
        <v>395</v>
      </c>
      <c r="J9" t="s">
        <v>31</v>
      </c>
      <c r="M9" s="14" t="s">
        <v>399</v>
      </c>
    </row>
    <row r="10" spans="1:20" x14ac:dyDescent="0.2">
      <c r="Q10" s="114" t="s">
        <v>409</v>
      </c>
      <c r="R10" s="114"/>
    </row>
    <row r="11" spans="1:20" ht="16" thickBot="1" x14ac:dyDescent="0.25">
      <c r="A11" t="s">
        <v>34</v>
      </c>
      <c r="J11" t="s">
        <v>34</v>
      </c>
      <c r="Q11" s="167" t="s">
        <v>54</v>
      </c>
      <c r="R11" s="167"/>
      <c r="S11" s="166"/>
    </row>
    <row r="12" spans="1:20" x14ac:dyDescent="0.2">
      <c r="A12" s="3" t="s">
        <v>35</v>
      </c>
      <c r="B12" s="3" t="s">
        <v>36</v>
      </c>
      <c r="C12" s="3" t="s">
        <v>37</v>
      </c>
      <c r="D12" s="3" t="s">
        <v>38</v>
      </c>
      <c r="E12" s="3" t="s">
        <v>39</v>
      </c>
      <c r="J12" s="3" t="s">
        <v>35</v>
      </c>
      <c r="K12" s="3" t="s">
        <v>36</v>
      </c>
      <c r="L12" s="3" t="s">
        <v>37</v>
      </c>
      <c r="M12" s="3" t="s">
        <v>38</v>
      </c>
      <c r="N12" s="3" t="s">
        <v>39</v>
      </c>
    </row>
    <row r="13" spans="1:20" x14ac:dyDescent="0.2">
      <c r="A13" t="s">
        <v>41</v>
      </c>
      <c r="B13">
        <v>3</v>
      </c>
      <c r="C13">
        <v>113.82763959357268</v>
      </c>
      <c r="D13">
        <v>37.942546531190892</v>
      </c>
      <c r="E13">
        <v>2.3281898973527566</v>
      </c>
      <c r="J13" t="s">
        <v>41</v>
      </c>
      <c r="K13">
        <v>3</v>
      </c>
      <c r="L13">
        <v>136.5373263100536</v>
      </c>
      <c r="M13">
        <v>45.512442103351198</v>
      </c>
      <c r="N13">
        <v>13.813401480744478</v>
      </c>
    </row>
    <row r="14" spans="1:20" ht="16" thickBot="1" x14ac:dyDescent="0.25">
      <c r="A14" s="4" t="s">
        <v>42</v>
      </c>
      <c r="B14" s="4">
        <v>3</v>
      </c>
      <c r="C14" s="4">
        <v>136.5373263100536</v>
      </c>
      <c r="D14" s="4">
        <v>45.512442103351198</v>
      </c>
      <c r="E14" s="4">
        <v>13.813401480744478</v>
      </c>
      <c r="J14" s="4" t="s">
        <v>42</v>
      </c>
      <c r="K14" s="4">
        <v>3</v>
      </c>
      <c r="L14" s="4">
        <v>166.8604204122432</v>
      </c>
      <c r="M14" s="4">
        <v>55.620140137414403</v>
      </c>
      <c r="N14" s="4">
        <v>8.2837767658576631</v>
      </c>
    </row>
    <row r="17" spans="1:16" ht="16" thickBot="1" x14ac:dyDescent="0.25">
      <c r="A17" t="s">
        <v>44</v>
      </c>
      <c r="J17" t="s">
        <v>44</v>
      </c>
    </row>
    <row r="18" spans="1:16" x14ac:dyDescent="0.2">
      <c r="A18" s="3" t="s">
        <v>45</v>
      </c>
      <c r="B18" s="3" t="s">
        <v>46</v>
      </c>
      <c r="C18" s="3" t="s">
        <v>47</v>
      </c>
      <c r="D18" s="3" t="s">
        <v>48</v>
      </c>
      <c r="E18" s="3" t="s">
        <v>49</v>
      </c>
      <c r="F18" s="3" t="s">
        <v>50</v>
      </c>
      <c r="G18" s="3" t="s">
        <v>51</v>
      </c>
      <c r="J18" s="3" t="s">
        <v>45</v>
      </c>
      <c r="K18" s="3" t="s">
        <v>46</v>
      </c>
      <c r="L18" s="3" t="s">
        <v>47</v>
      </c>
      <c r="M18" s="3" t="s">
        <v>48</v>
      </c>
      <c r="N18" s="3" t="s">
        <v>49</v>
      </c>
      <c r="O18" s="3" t="s">
        <v>50</v>
      </c>
      <c r="P18" s="3" t="s">
        <v>51</v>
      </c>
    </row>
    <row r="19" spans="1:16" x14ac:dyDescent="0.2">
      <c r="A19" t="s">
        <v>52</v>
      </c>
      <c r="B19">
        <v>85.954978460118127</v>
      </c>
      <c r="C19">
        <v>1</v>
      </c>
      <c r="D19">
        <v>85.954978460118127</v>
      </c>
      <c r="E19">
        <v>10.650124445195869</v>
      </c>
      <c r="F19">
        <v>3.0979746479563593E-2</v>
      </c>
      <c r="G19">
        <v>7.708647422176786</v>
      </c>
      <c r="J19" t="s">
        <v>52</v>
      </c>
      <c r="K19">
        <v>153.2483393217077</v>
      </c>
      <c r="L19">
        <v>1</v>
      </c>
      <c r="M19">
        <v>153.2483393217077</v>
      </c>
      <c r="N19">
        <v>13.870398981396869</v>
      </c>
      <c r="O19">
        <v>2.0397936966598539E-2</v>
      </c>
      <c r="P19">
        <v>7.708647422176786</v>
      </c>
    </row>
    <row r="20" spans="1:16" x14ac:dyDescent="0.2">
      <c r="A20" t="s">
        <v>53</v>
      </c>
      <c r="B20">
        <v>32.283182756194471</v>
      </c>
      <c r="C20">
        <v>4</v>
      </c>
      <c r="D20">
        <v>8.0707956890486177</v>
      </c>
      <c r="J20" t="s">
        <v>53</v>
      </c>
      <c r="K20">
        <v>44.194356493204282</v>
      </c>
      <c r="L20">
        <v>4</v>
      </c>
      <c r="M20">
        <v>11.04858912330107</v>
      </c>
    </row>
    <row r="22" spans="1:16" ht="16" thickBot="1" x14ac:dyDescent="0.25">
      <c r="A22" s="4" t="s">
        <v>55</v>
      </c>
      <c r="B22" s="4">
        <v>118.23816121631259</v>
      </c>
      <c r="C22" s="4">
        <v>5</v>
      </c>
      <c r="D22" s="4"/>
      <c r="E22" s="4"/>
      <c r="F22" s="4"/>
      <c r="G22" s="4"/>
      <c r="J22" s="4" t="s">
        <v>55</v>
      </c>
      <c r="K22" s="4">
        <v>197.44269581491199</v>
      </c>
      <c r="L22" s="4">
        <v>5</v>
      </c>
      <c r="M22" s="4"/>
      <c r="N22" s="4"/>
      <c r="O22" s="4"/>
      <c r="P22" s="4"/>
    </row>
  </sheetData>
  <mergeCells count="2">
    <mergeCell ref="Q11:R11"/>
    <mergeCell ref="Q10:R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7669-E1DD-B14D-A21E-83D2FEAD4D68}">
  <sheetPr>
    <tabColor rgb="FF00B050"/>
  </sheetPr>
  <dimension ref="A1:P47"/>
  <sheetViews>
    <sheetView topLeftCell="A6" workbookViewId="0">
      <selection activeCell="A22" sqref="A22:B23"/>
    </sheetView>
  </sheetViews>
  <sheetFormatPr baseColWidth="10" defaultRowHeight="15" x14ac:dyDescent="0.2"/>
  <cols>
    <col min="1" max="1" width="20.6640625" bestFit="1" customWidth="1"/>
    <col min="6" max="6" width="20.6640625" bestFit="1" customWidth="1"/>
    <col min="11" max="11" width="20.6640625" bestFit="1" customWidth="1"/>
  </cols>
  <sheetData>
    <row r="1" spans="1:14" x14ac:dyDescent="0.2">
      <c r="A1" s="101" t="s">
        <v>405</v>
      </c>
      <c r="F1" s="101" t="s">
        <v>406</v>
      </c>
      <c r="K1" s="101" t="s">
        <v>407</v>
      </c>
    </row>
    <row r="2" spans="1:14" x14ac:dyDescent="0.2">
      <c r="B2" t="s">
        <v>66</v>
      </c>
      <c r="C2" t="s">
        <v>28</v>
      </c>
      <c r="D2" t="s">
        <v>30</v>
      </c>
      <c r="G2" t="s">
        <v>66</v>
      </c>
      <c r="H2" t="s">
        <v>28</v>
      </c>
      <c r="I2" t="s">
        <v>30</v>
      </c>
      <c r="L2" t="s">
        <v>66</v>
      </c>
      <c r="M2" t="s">
        <v>28</v>
      </c>
      <c r="N2" t="s">
        <v>30</v>
      </c>
    </row>
    <row r="3" spans="1:14" x14ac:dyDescent="0.2">
      <c r="A3" t="s">
        <v>170</v>
      </c>
      <c r="B3">
        <v>123</v>
      </c>
      <c r="C3">
        <v>91</v>
      </c>
      <c r="D3">
        <v>131</v>
      </c>
      <c r="F3" t="s">
        <v>170</v>
      </c>
      <c r="G3">
        <v>97</v>
      </c>
      <c r="H3">
        <v>99</v>
      </c>
      <c r="I3">
        <v>89</v>
      </c>
      <c r="K3" t="s">
        <v>170</v>
      </c>
      <c r="L3">
        <v>135</v>
      </c>
      <c r="M3">
        <v>133</v>
      </c>
      <c r="N3">
        <v>112</v>
      </c>
    </row>
    <row r="4" spans="1:14" x14ac:dyDescent="0.2">
      <c r="A4" t="s">
        <v>171</v>
      </c>
      <c r="B4">
        <v>78</v>
      </c>
      <c r="C4">
        <v>65</v>
      </c>
      <c r="D4">
        <v>97</v>
      </c>
      <c r="F4" t="s">
        <v>171</v>
      </c>
      <c r="G4">
        <v>74</v>
      </c>
      <c r="H4">
        <v>67</v>
      </c>
      <c r="I4">
        <v>72</v>
      </c>
      <c r="K4" t="s">
        <v>171</v>
      </c>
      <c r="L4">
        <v>89</v>
      </c>
      <c r="M4">
        <v>93</v>
      </c>
      <c r="N4">
        <v>75</v>
      </c>
    </row>
    <row r="5" spans="1:14" x14ac:dyDescent="0.2">
      <c r="A5" t="s">
        <v>329</v>
      </c>
      <c r="B5">
        <f>(B4+B3)</f>
        <v>201</v>
      </c>
      <c r="C5">
        <f t="shared" ref="C5:D5" si="0">(C4+C3)</f>
        <v>156</v>
      </c>
      <c r="D5">
        <f t="shared" si="0"/>
        <v>228</v>
      </c>
      <c r="F5" t="s">
        <v>329</v>
      </c>
      <c r="G5">
        <f>(G4+G3)</f>
        <v>171</v>
      </c>
      <c r="H5">
        <f>(H4+H3)</f>
        <v>166</v>
      </c>
      <c r="I5">
        <f>(I4+I3)</f>
        <v>161</v>
      </c>
      <c r="K5" t="s">
        <v>329</v>
      </c>
      <c r="L5">
        <f>(L3+L4)</f>
        <v>224</v>
      </c>
      <c r="M5">
        <f>(M3+M4)</f>
        <v>226</v>
      </c>
      <c r="N5">
        <f>(N3+N4)</f>
        <v>187</v>
      </c>
    </row>
    <row r="6" spans="1:14" x14ac:dyDescent="0.2">
      <c r="A6" t="s">
        <v>327</v>
      </c>
      <c r="B6">
        <f>(B3/B5)*100</f>
        <v>61.194029850746269</v>
      </c>
      <c r="C6">
        <f>(C3/C5)*100</f>
        <v>58.333333333333336</v>
      </c>
      <c r="D6">
        <f>(D3/D5)*100</f>
        <v>57.456140350877192</v>
      </c>
      <c r="F6" t="s">
        <v>327</v>
      </c>
      <c r="G6">
        <f>(G3/G5)*100</f>
        <v>56.725146198830409</v>
      </c>
      <c r="H6">
        <f>(H3/H5)*100</f>
        <v>59.638554216867469</v>
      </c>
      <c r="I6">
        <f>(I3/I5)*100</f>
        <v>55.279503105590067</v>
      </c>
      <c r="K6" t="s">
        <v>327</v>
      </c>
      <c r="L6">
        <f>(L3/L5)*100</f>
        <v>60.267857142857139</v>
      </c>
      <c r="M6">
        <f>(M3/M5)*100</f>
        <v>58.849557522123895</v>
      </c>
      <c r="N6">
        <f>(N3/N5)*100</f>
        <v>59.893048128342244</v>
      </c>
    </row>
    <row r="7" spans="1:14" x14ac:dyDescent="0.2">
      <c r="A7" t="s">
        <v>328</v>
      </c>
      <c r="B7">
        <f>(B4/B5)*100</f>
        <v>38.805970149253731</v>
      </c>
      <c r="C7">
        <f>(C4/C5)*100</f>
        <v>41.666666666666671</v>
      </c>
      <c r="D7">
        <f>(D4/D5)*100</f>
        <v>42.543859649122808</v>
      </c>
      <c r="F7" t="s">
        <v>328</v>
      </c>
      <c r="G7">
        <f>(G4/G5)*100</f>
        <v>43.274853801169591</v>
      </c>
      <c r="H7">
        <f>(H4/H5)*100</f>
        <v>40.361445783132531</v>
      </c>
      <c r="I7">
        <f>(I4/I5)*100</f>
        <v>44.720496894409941</v>
      </c>
      <c r="K7" t="s">
        <v>328</v>
      </c>
      <c r="L7">
        <f>(L4/L5)*100</f>
        <v>39.732142857142854</v>
      </c>
      <c r="M7">
        <f>(M4/M5)*100</f>
        <v>41.150442477876105</v>
      </c>
      <c r="N7">
        <f>(N4/N5)*100</f>
        <v>40.106951871657756</v>
      </c>
    </row>
    <row r="10" spans="1:14" x14ac:dyDescent="0.2">
      <c r="A10" s="101" t="s">
        <v>404</v>
      </c>
      <c r="B10" t="s">
        <v>66</v>
      </c>
      <c r="C10" t="s">
        <v>28</v>
      </c>
      <c r="D10" t="s">
        <v>30</v>
      </c>
    </row>
    <row r="11" spans="1:14" x14ac:dyDescent="0.2">
      <c r="A11" s="27" t="s">
        <v>170</v>
      </c>
      <c r="B11">
        <f t="shared" ref="B11:D13" si="1">AVERAGE(B3+G3+L3)</f>
        <v>355</v>
      </c>
      <c r="C11">
        <f t="shared" si="1"/>
        <v>323</v>
      </c>
      <c r="D11">
        <f t="shared" si="1"/>
        <v>332</v>
      </c>
      <c r="N11" s="100"/>
    </row>
    <row r="12" spans="1:14" x14ac:dyDescent="0.2">
      <c r="A12" s="27" t="s">
        <v>171</v>
      </c>
      <c r="B12">
        <f t="shared" si="1"/>
        <v>241</v>
      </c>
      <c r="C12">
        <f t="shared" si="1"/>
        <v>225</v>
      </c>
      <c r="D12">
        <f t="shared" si="1"/>
        <v>244</v>
      </c>
      <c r="N12" s="100"/>
    </row>
    <row r="13" spans="1:14" x14ac:dyDescent="0.2">
      <c r="A13" s="27" t="s">
        <v>329</v>
      </c>
      <c r="B13">
        <f t="shared" si="1"/>
        <v>596</v>
      </c>
      <c r="C13">
        <f t="shared" si="1"/>
        <v>548</v>
      </c>
      <c r="D13">
        <f t="shared" si="1"/>
        <v>576</v>
      </c>
      <c r="N13" s="100"/>
    </row>
    <row r="14" spans="1:14" x14ac:dyDescent="0.2">
      <c r="A14" s="27" t="s">
        <v>327</v>
      </c>
      <c r="B14">
        <f>(B11/B13)*100</f>
        <v>59.563758389261743</v>
      </c>
      <c r="C14">
        <f>AVERAGE(C11/C13)*100</f>
        <v>58.941605839416056</v>
      </c>
      <c r="D14">
        <f>AVERAGE(D11/D13)*100</f>
        <v>57.638888888888886</v>
      </c>
      <c r="N14" s="100"/>
    </row>
    <row r="15" spans="1:14" x14ac:dyDescent="0.2">
      <c r="A15" s="27" t="s">
        <v>328</v>
      </c>
      <c r="B15">
        <f>(B12/B13)*100</f>
        <v>40.436241610738257</v>
      </c>
      <c r="C15">
        <f>AVERAGE(C12/C13)*100</f>
        <v>41.058394160583944</v>
      </c>
      <c r="D15">
        <f>AVERAGE(D12/D13)*100</f>
        <v>42.361111111111107</v>
      </c>
      <c r="N15" s="100"/>
    </row>
    <row r="16" spans="1:14" x14ac:dyDescent="0.2">
      <c r="A16" s="14" t="s">
        <v>400</v>
      </c>
      <c r="B16">
        <f>STDEVA(B6,G6,L6)</f>
        <v>2.3586549066550013</v>
      </c>
      <c r="C16">
        <f t="shared" ref="C16:D17" si="2">STDEVA(C6,H6,M6)</f>
        <v>0.65734373963479953</v>
      </c>
      <c r="D16">
        <f t="shared" si="2"/>
        <v>2.3079957716022133</v>
      </c>
    </row>
    <row r="17" spans="1:13" x14ac:dyDescent="0.2">
      <c r="A17" s="14" t="s">
        <v>401</v>
      </c>
      <c r="B17">
        <f>STDEVA(B7,G7,L7)</f>
        <v>2.3586549066550027</v>
      </c>
      <c r="C17">
        <f t="shared" si="2"/>
        <v>0.65734373963480275</v>
      </c>
      <c r="D17">
        <f t="shared" si="2"/>
        <v>2.3079957716022168</v>
      </c>
    </row>
    <row r="18" spans="1:13" x14ac:dyDescent="0.2">
      <c r="A18" s="14" t="s">
        <v>402</v>
      </c>
      <c r="B18">
        <f t="shared" ref="B18:D19" si="3">(B16/(SQRT(3)))</f>
        <v>1.3617700452826966</v>
      </c>
      <c r="C18">
        <f t="shared" si="3"/>
        <v>0.37951758502826682</v>
      </c>
      <c r="D18">
        <f t="shared" si="3"/>
        <v>1.3325219800230559</v>
      </c>
    </row>
    <row r="19" spans="1:13" x14ac:dyDescent="0.2">
      <c r="A19" s="14" t="s">
        <v>403</v>
      </c>
      <c r="B19">
        <f t="shared" si="3"/>
        <v>1.3617700452826975</v>
      </c>
      <c r="C19">
        <f t="shared" si="3"/>
        <v>0.37951758502826866</v>
      </c>
      <c r="D19">
        <f t="shared" si="3"/>
        <v>1.3325219800230579</v>
      </c>
    </row>
    <row r="22" spans="1:13" x14ac:dyDescent="0.2">
      <c r="A22" s="114" t="s">
        <v>409</v>
      </c>
      <c r="B22" s="114"/>
    </row>
    <row r="23" spans="1:13" x14ac:dyDescent="0.2">
      <c r="A23" s="167" t="s">
        <v>54</v>
      </c>
      <c r="B23" s="167"/>
    </row>
    <row r="26" spans="1:13" x14ac:dyDescent="0.2">
      <c r="A26" t="s">
        <v>95</v>
      </c>
      <c r="B26" s="14" t="s">
        <v>395</v>
      </c>
      <c r="I26" t="s">
        <v>95</v>
      </c>
      <c r="K26" s="14" t="s">
        <v>204</v>
      </c>
    </row>
    <row r="27" spans="1:13" x14ac:dyDescent="0.2">
      <c r="H27" s="158"/>
    </row>
    <row r="28" spans="1:13" ht="16" thickBot="1" x14ac:dyDescent="0.25">
      <c r="A28" t="s">
        <v>96</v>
      </c>
      <c r="H28" s="158"/>
      <c r="I28" t="s">
        <v>96</v>
      </c>
    </row>
    <row r="29" spans="1:13" x14ac:dyDescent="0.2">
      <c r="A29" s="154" t="s">
        <v>97</v>
      </c>
      <c r="B29" s="154" t="s">
        <v>98</v>
      </c>
      <c r="C29" s="154" t="s">
        <v>99</v>
      </c>
      <c r="D29" s="154" t="s">
        <v>100</v>
      </c>
      <c r="E29" s="154" t="s">
        <v>39</v>
      </c>
      <c r="H29" s="158"/>
      <c r="I29" s="154" t="s">
        <v>97</v>
      </c>
      <c r="J29" s="154" t="s">
        <v>98</v>
      </c>
      <c r="K29" s="154" t="s">
        <v>99</v>
      </c>
      <c r="L29" s="154" t="s">
        <v>100</v>
      </c>
      <c r="M29" s="154" t="s">
        <v>39</v>
      </c>
    </row>
    <row r="30" spans="1:13" x14ac:dyDescent="0.2">
      <c r="A30" s="152" t="s">
        <v>101</v>
      </c>
      <c r="B30" s="152">
        <v>3</v>
      </c>
      <c r="C30" s="152">
        <v>178.18703319243383</v>
      </c>
      <c r="D30" s="152">
        <v>59.395677730811279</v>
      </c>
      <c r="E30" s="152">
        <v>5.5632529686877135</v>
      </c>
      <c r="H30" s="162"/>
      <c r="I30" s="152" t="s">
        <v>101</v>
      </c>
      <c r="J30" s="152">
        <v>3</v>
      </c>
      <c r="K30" s="152">
        <v>176.82144507232471</v>
      </c>
      <c r="L30" s="152">
        <v>58.940481690774902</v>
      </c>
      <c r="M30" s="152">
        <v>0.43210079203706314</v>
      </c>
    </row>
    <row r="31" spans="1:13" ht="16" thickBot="1" x14ac:dyDescent="0.25">
      <c r="A31" s="153" t="s">
        <v>102</v>
      </c>
      <c r="B31" s="153">
        <v>3</v>
      </c>
      <c r="C31" s="153">
        <v>176.82144507232471</v>
      </c>
      <c r="D31" s="153">
        <v>58.940481690774902</v>
      </c>
      <c r="E31" s="153">
        <v>0.43210079203706314</v>
      </c>
      <c r="H31" s="158"/>
      <c r="I31" s="153" t="s">
        <v>102</v>
      </c>
      <c r="J31" s="153">
        <v>3</v>
      </c>
      <c r="K31" s="153">
        <v>172.6286915848095</v>
      </c>
      <c r="L31" s="153">
        <v>57.542897194936501</v>
      </c>
      <c r="M31" s="153">
        <v>5.326844481733696</v>
      </c>
    </row>
    <row r="32" spans="1:13" x14ac:dyDescent="0.2">
      <c r="H32" s="158"/>
    </row>
    <row r="33" spans="1:16" x14ac:dyDescent="0.2">
      <c r="H33" s="158"/>
    </row>
    <row r="34" spans="1:16" ht="16" thickBot="1" x14ac:dyDescent="0.25">
      <c r="A34" t="s">
        <v>103</v>
      </c>
      <c r="H34" s="158"/>
      <c r="I34" t="s">
        <v>103</v>
      </c>
    </row>
    <row r="35" spans="1:16" x14ac:dyDescent="0.2">
      <c r="A35" s="154" t="s">
        <v>104</v>
      </c>
      <c r="B35" s="154" t="s">
        <v>105</v>
      </c>
      <c r="C35" s="154" t="s">
        <v>106</v>
      </c>
      <c r="D35" s="154" t="s">
        <v>107</v>
      </c>
      <c r="E35" s="154" t="s">
        <v>49</v>
      </c>
      <c r="F35" s="154" t="s">
        <v>108</v>
      </c>
      <c r="G35" s="154" t="s">
        <v>109</v>
      </c>
      <c r="H35" s="158"/>
      <c r="I35" s="154" t="s">
        <v>104</v>
      </c>
      <c r="J35" s="154" t="s">
        <v>105</v>
      </c>
      <c r="K35" s="154" t="s">
        <v>106</v>
      </c>
      <c r="L35" s="154" t="s">
        <v>107</v>
      </c>
      <c r="M35" s="154" t="s">
        <v>49</v>
      </c>
      <c r="N35" s="154" t="s">
        <v>108</v>
      </c>
      <c r="O35" s="154" t="s">
        <v>109</v>
      </c>
    </row>
    <row r="36" spans="1:16" x14ac:dyDescent="0.2">
      <c r="A36" s="152" t="s">
        <v>110</v>
      </c>
      <c r="B36" s="152">
        <v>0.31080515229719374</v>
      </c>
      <c r="C36" s="152">
        <v>1</v>
      </c>
      <c r="D36" s="152">
        <v>0.31080515229719374</v>
      </c>
      <c r="E36" s="152">
        <v>0.1036820060004668</v>
      </c>
      <c r="F36" s="152">
        <v>0.76358063583268732</v>
      </c>
      <c r="G36" s="152">
        <v>7.708647422176786</v>
      </c>
      <c r="H36" s="162"/>
      <c r="I36" s="152" t="s">
        <v>110</v>
      </c>
      <c r="J36" s="152">
        <v>2.9298636345118076</v>
      </c>
      <c r="K36" s="152">
        <v>1</v>
      </c>
      <c r="L36" s="152">
        <v>2.9298636345118076</v>
      </c>
      <c r="M36" s="152">
        <v>1.0175000786536157</v>
      </c>
      <c r="N36" s="152">
        <v>0.37017692209999392</v>
      </c>
      <c r="O36" s="152">
        <v>7.708647422176786</v>
      </c>
    </row>
    <row r="37" spans="1:16" x14ac:dyDescent="0.2">
      <c r="A37" s="152" t="s">
        <v>111</v>
      </c>
      <c r="B37" s="152">
        <v>11.990707521449552</v>
      </c>
      <c r="C37" s="152">
        <v>4</v>
      </c>
      <c r="D37" s="152">
        <v>2.9976768803623881</v>
      </c>
      <c r="E37" s="152"/>
      <c r="F37" s="152"/>
      <c r="G37" s="152"/>
      <c r="H37" s="158"/>
      <c r="I37" s="152" t="s">
        <v>111</v>
      </c>
      <c r="J37" s="152">
        <v>11.517890547541517</v>
      </c>
      <c r="K37" s="152">
        <v>4</v>
      </c>
      <c r="L37" s="152">
        <v>2.8794726368853794</v>
      </c>
      <c r="M37" s="152"/>
      <c r="N37" s="152"/>
      <c r="O37" s="152"/>
    </row>
    <row r="38" spans="1:16" x14ac:dyDescent="0.2">
      <c r="A38" s="152"/>
      <c r="B38" s="152"/>
      <c r="C38" s="152"/>
      <c r="D38" s="152"/>
      <c r="E38" s="152"/>
      <c r="F38" s="152"/>
      <c r="G38" s="152"/>
      <c r="H38" s="158"/>
      <c r="I38" s="152"/>
      <c r="J38" s="152"/>
      <c r="K38" s="152"/>
      <c r="L38" s="152"/>
      <c r="M38" s="152"/>
      <c r="N38" s="152"/>
      <c r="O38" s="152"/>
    </row>
    <row r="39" spans="1:16" ht="16" thickBot="1" x14ac:dyDescent="0.25">
      <c r="A39" s="153" t="s">
        <v>55</v>
      </c>
      <c r="B39" s="153">
        <v>12.301512673746746</v>
      </c>
      <c r="C39" s="153">
        <v>5</v>
      </c>
      <c r="D39" s="153"/>
      <c r="E39" s="153"/>
      <c r="F39" s="153"/>
      <c r="G39" s="153"/>
      <c r="H39" s="158"/>
      <c r="I39" s="153" t="s">
        <v>55</v>
      </c>
      <c r="J39" s="153">
        <v>14.447754182053325</v>
      </c>
      <c r="K39" s="153">
        <v>5</v>
      </c>
      <c r="L39" s="153"/>
      <c r="M39" s="153"/>
      <c r="N39" s="153"/>
      <c r="O39" s="153"/>
    </row>
    <row r="40" spans="1:16" x14ac:dyDescent="0.2">
      <c r="G40" s="158"/>
      <c r="H40" s="158"/>
      <c r="I40" s="158"/>
      <c r="J40" s="158"/>
      <c r="K40" s="158"/>
      <c r="L40" s="158"/>
      <c r="M40" s="158"/>
      <c r="N40" s="158"/>
    </row>
    <row r="41" spans="1:16" x14ac:dyDescent="0.2">
      <c r="G41" s="162"/>
      <c r="H41" s="162"/>
      <c r="I41" s="162"/>
      <c r="J41" s="162"/>
      <c r="K41" s="162"/>
      <c r="L41" s="162"/>
      <c r="M41" s="162"/>
    </row>
    <row r="42" spans="1:16" x14ac:dyDescent="0.2">
      <c r="G42" s="158"/>
      <c r="H42" s="158"/>
      <c r="I42" s="158"/>
      <c r="J42" s="158"/>
      <c r="K42" s="158"/>
      <c r="L42" s="158"/>
      <c r="M42" s="158"/>
    </row>
    <row r="43" spans="1:16" x14ac:dyDescent="0.2">
      <c r="G43" s="158"/>
      <c r="H43" s="158"/>
      <c r="I43" s="158"/>
      <c r="J43" s="158"/>
      <c r="K43" s="158"/>
      <c r="L43" s="158"/>
      <c r="M43" s="158"/>
      <c r="N43" s="158"/>
      <c r="O43" s="158"/>
      <c r="P43" s="158"/>
    </row>
    <row r="44" spans="1:16" x14ac:dyDescent="0.2">
      <c r="G44" s="158"/>
      <c r="H44" s="158"/>
      <c r="I44" s="158"/>
      <c r="J44" s="158"/>
      <c r="K44" s="158"/>
      <c r="L44" s="158"/>
      <c r="M44" s="158"/>
      <c r="N44" s="158"/>
      <c r="O44" s="158"/>
      <c r="P44" s="158"/>
    </row>
    <row r="45" spans="1:16" x14ac:dyDescent="0.2">
      <c r="G45" s="158"/>
      <c r="H45" s="158"/>
      <c r="I45" s="158"/>
      <c r="J45" s="158"/>
      <c r="K45" s="158"/>
      <c r="L45" s="158"/>
      <c r="M45" s="158"/>
      <c r="N45" s="158"/>
      <c r="O45" s="158"/>
      <c r="P45" s="158"/>
    </row>
    <row r="46" spans="1:16" x14ac:dyDescent="0.2">
      <c r="G46" s="158"/>
      <c r="H46" s="158"/>
      <c r="I46" s="158"/>
      <c r="J46" s="158"/>
      <c r="K46" s="158"/>
      <c r="L46" s="158"/>
      <c r="M46" s="158"/>
      <c r="N46" s="158"/>
      <c r="O46" s="158"/>
      <c r="P46" s="158"/>
    </row>
    <row r="47" spans="1:16" x14ac:dyDescent="0.2">
      <c r="G47" s="158"/>
      <c r="H47" s="158"/>
      <c r="I47" s="158"/>
      <c r="J47" s="158"/>
      <c r="K47" s="158"/>
      <c r="L47" s="158"/>
      <c r="M47" s="158"/>
      <c r="N47" s="158"/>
      <c r="O47" s="158"/>
      <c r="P47" s="158"/>
    </row>
  </sheetData>
  <mergeCells count="2">
    <mergeCell ref="A22:B22"/>
    <mergeCell ref="A23:B2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69EA-D735-804A-8925-BD873038011B}">
  <sheetPr>
    <tabColor rgb="FF00B050"/>
  </sheetPr>
  <dimension ref="A1:T22"/>
  <sheetViews>
    <sheetView workbookViewId="0">
      <selection activeCell="P10" sqref="P10:Q11"/>
    </sheetView>
  </sheetViews>
  <sheetFormatPr baseColWidth="10" defaultRowHeight="15" x14ac:dyDescent="0.2"/>
  <sheetData>
    <row r="1" spans="1:20" x14ac:dyDescent="0.2">
      <c r="A1" s="99" t="s">
        <v>113</v>
      </c>
      <c r="B1" t="s">
        <v>170</v>
      </c>
      <c r="C1" t="s">
        <v>171</v>
      </c>
      <c r="D1" t="s">
        <v>55</v>
      </c>
      <c r="F1" s="99" t="s">
        <v>114</v>
      </c>
      <c r="G1" t="s">
        <v>170</v>
      </c>
      <c r="H1" t="s">
        <v>171</v>
      </c>
      <c r="I1" t="s">
        <v>55</v>
      </c>
      <c r="K1" s="99" t="s">
        <v>129</v>
      </c>
      <c r="L1" t="s">
        <v>170</v>
      </c>
      <c r="M1" t="s">
        <v>171</v>
      </c>
      <c r="N1" t="s">
        <v>55</v>
      </c>
      <c r="P1" s="99" t="s">
        <v>172</v>
      </c>
      <c r="Q1" s="14" t="s">
        <v>170</v>
      </c>
      <c r="R1" s="14" t="s">
        <v>171</v>
      </c>
      <c r="S1" s="14" t="s">
        <v>63</v>
      </c>
      <c r="T1" s="14" t="s">
        <v>59</v>
      </c>
    </row>
    <row r="2" spans="1:20" x14ac:dyDescent="0.2">
      <c r="A2" s="14" t="s">
        <v>324</v>
      </c>
      <c r="B2">
        <v>38</v>
      </c>
      <c r="C2">
        <v>64</v>
      </c>
      <c r="D2">
        <f>B2+C2</f>
        <v>102</v>
      </c>
      <c r="F2" s="14" t="s">
        <v>324</v>
      </c>
      <c r="G2">
        <v>98</v>
      </c>
      <c r="H2">
        <v>139</v>
      </c>
      <c r="I2">
        <f>G2+H2</f>
        <v>237</v>
      </c>
      <c r="K2" s="14" t="s">
        <v>324</v>
      </c>
      <c r="L2">
        <v>78</v>
      </c>
      <c r="M2">
        <v>136</v>
      </c>
      <c r="N2">
        <f>L2+M2</f>
        <v>214</v>
      </c>
      <c r="P2" t="s">
        <v>324</v>
      </c>
      <c r="Q2">
        <v>71.333333333333329</v>
      </c>
      <c r="R2">
        <v>113</v>
      </c>
    </row>
    <row r="3" spans="1:20" x14ac:dyDescent="0.2">
      <c r="A3" s="14" t="s">
        <v>156</v>
      </c>
      <c r="B3">
        <f>(B2/D2)*100</f>
        <v>37.254901960784316</v>
      </c>
      <c r="C3">
        <f>(C2/D2)*100</f>
        <v>62.745098039215684</v>
      </c>
      <c r="F3" s="14" t="s">
        <v>156</v>
      </c>
      <c r="G3">
        <f>(G2/I2)*100</f>
        <v>41.350210970464133</v>
      </c>
      <c r="H3">
        <f>(H2/I2)*100</f>
        <v>58.649789029535867</v>
      </c>
      <c r="K3" s="14" t="s">
        <v>156</v>
      </c>
      <c r="L3">
        <f>(L2/N2)*100</f>
        <v>36.44859813084112</v>
      </c>
      <c r="M3">
        <f>(M2/N2)*100</f>
        <v>63.551401869158873</v>
      </c>
      <c r="P3" t="s">
        <v>156</v>
      </c>
      <c r="Q3">
        <v>38.351237020696523</v>
      </c>
      <c r="R3">
        <v>61.648762979303477</v>
      </c>
      <c r="S3">
        <v>2.6282912757310255</v>
      </c>
      <c r="T3">
        <v>1.5174446755520525</v>
      </c>
    </row>
    <row r="4" spans="1:20" x14ac:dyDescent="0.2">
      <c r="A4" s="14" t="s">
        <v>325</v>
      </c>
      <c r="B4">
        <v>57</v>
      </c>
      <c r="C4">
        <v>84</v>
      </c>
      <c r="D4">
        <f>B4+C4</f>
        <v>141</v>
      </c>
      <c r="F4" s="14" t="s">
        <v>325</v>
      </c>
      <c r="G4">
        <v>68</v>
      </c>
      <c r="H4">
        <v>94</v>
      </c>
      <c r="I4">
        <f>G4+H4</f>
        <v>162</v>
      </c>
      <c r="K4" s="14" t="s">
        <v>325</v>
      </c>
      <c r="L4">
        <v>90</v>
      </c>
      <c r="M4">
        <v>111</v>
      </c>
      <c r="N4">
        <f>L4+M4</f>
        <v>201</v>
      </c>
      <c r="P4" t="s">
        <v>325</v>
      </c>
      <c r="Q4">
        <v>71.666666666666671</v>
      </c>
      <c r="R4">
        <v>96.333333333333329</v>
      </c>
    </row>
    <row r="5" spans="1:20" x14ac:dyDescent="0.2">
      <c r="A5" s="14" t="s">
        <v>156</v>
      </c>
      <c r="B5">
        <f>(B4/D4)*100</f>
        <v>40.425531914893611</v>
      </c>
      <c r="C5">
        <f>(C4/D4)*100</f>
        <v>59.574468085106382</v>
      </c>
      <c r="F5" s="14" t="s">
        <v>156</v>
      </c>
      <c r="G5">
        <f>(G4/I4)*100</f>
        <v>41.975308641975303</v>
      </c>
      <c r="H5">
        <f>(H4/I4)*100</f>
        <v>58.024691358024697</v>
      </c>
      <c r="K5" s="14" t="s">
        <v>156</v>
      </c>
      <c r="L5">
        <f>(L4/N4)*100</f>
        <v>44.776119402985074</v>
      </c>
      <c r="M5">
        <f>(M4/N4)*100</f>
        <v>55.223880597014926</v>
      </c>
      <c r="P5" t="s">
        <v>156</v>
      </c>
      <c r="Q5">
        <v>42.392319986617998</v>
      </c>
      <c r="R5">
        <v>57.607680013382002</v>
      </c>
      <c r="S5">
        <v>2.2050684159578875</v>
      </c>
      <c r="T5">
        <v>1.273096843534828</v>
      </c>
    </row>
    <row r="6" spans="1:20" x14ac:dyDescent="0.2">
      <c r="A6" s="14" t="s">
        <v>326</v>
      </c>
      <c r="B6">
        <v>41</v>
      </c>
      <c r="C6">
        <v>80</v>
      </c>
      <c r="D6">
        <f>B6+C6</f>
        <v>121</v>
      </c>
      <c r="F6" s="14" t="s">
        <v>326</v>
      </c>
      <c r="G6">
        <v>70</v>
      </c>
      <c r="H6">
        <v>120</v>
      </c>
      <c r="I6">
        <f>G6+H6</f>
        <v>190</v>
      </c>
      <c r="K6" s="14" t="s">
        <v>326</v>
      </c>
      <c r="L6">
        <v>55</v>
      </c>
      <c r="M6">
        <v>73</v>
      </c>
      <c r="N6">
        <f>L6+M6</f>
        <v>128</v>
      </c>
      <c r="P6" t="s">
        <v>326</v>
      </c>
      <c r="Q6">
        <v>55.333333333333336</v>
      </c>
      <c r="R6">
        <v>91</v>
      </c>
    </row>
    <row r="7" spans="1:20" x14ac:dyDescent="0.2">
      <c r="A7" s="14" t="s">
        <v>156</v>
      </c>
      <c r="B7">
        <f>(B6/D6)*100</f>
        <v>33.884297520661157</v>
      </c>
      <c r="C7">
        <f>(C6/D6)*100</f>
        <v>66.11570247933885</v>
      </c>
      <c r="F7" s="14" t="s">
        <v>156</v>
      </c>
      <c r="G7">
        <f>(G6/I6)*100</f>
        <v>36.84210526315789</v>
      </c>
      <c r="H7">
        <f>(H6/I6)*100</f>
        <v>63.157894736842103</v>
      </c>
      <c r="K7" s="14" t="s">
        <v>156</v>
      </c>
      <c r="L7">
        <f>(L6/N6)*100</f>
        <v>42.96875</v>
      </c>
      <c r="M7">
        <f>(M6/N6)*100</f>
        <v>57.03125</v>
      </c>
      <c r="P7" t="s">
        <v>156</v>
      </c>
      <c r="Q7">
        <v>37.898384261273016</v>
      </c>
      <c r="R7">
        <v>62.101615738726984</v>
      </c>
      <c r="S7">
        <v>4.6334234863366133</v>
      </c>
      <c r="T7">
        <v>2.6751082971059783</v>
      </c>
    </row>
    <row r="9" spans="1:20" x14ac:dyDescent="0.2">
      <c r="A9" t="s">
        <v>31</v>
      </c>
      <c r="D9" s="14" t="s">
        <v>395</v>
      </c>
      <c r="I9" t="s">
        <v>31</v>
      </c>
      <c r="L9" s="14" t="s">
        <v>204</v>
      </c>
    </row>
    <row r="10" spans="1:20" x14ac:dyDescent="0.2">
      <c r="P10" s="114" t="s">
        <v>409</v>
      </c>
      <c r="Q10" s="114"/>
    </row>
    <row r="11" spans="1:20" ht="16" thickBot="1" x14ac:dyDescent="0.25">
      <c r="A11" t="s">
        <v>34</v>
      </c>
      <c r="I11" t="s">
        <v>34</v>
      </c>
      <c r="P11" s="167" t="s">
        <v>54</v>
      </c>
      <c r="Q11" s="167"/>
    </row>
    <row r="12" spans="1:20" x14ac:dyDescent="0.2">
      <c r="A12" s="3" t="s">
        <v>35</v>
      </c>
      <c r="B12" s="3" t="s">
        <v>36</v>
      </c>
      <c r="C12" s="3" t="s">
        <v>37</v>
      </c>
      <c r="D12" s="3" t="s">
        <v>38</v>
      </c>
      <c r="E12" s="3" t="s">
        <v>39</v>
      </c>
      <c r="I12" s="3" t="s">
        <v>35</v>
      </c>
      <c r="J12" s="3" t="s">
        <v>36</v>
      </c>
      <c r="K12" s="3" t="s">
        <v>37</v>
      </c>
      <c r="L12" s="3" t="s">
        <v>38</v>
      </c>
      <c r="M12" s="3" t="s">
        <v>39</v>
      </c>
    </row>
    <row r="13" spans="1:20" x14ac:dyDescent="0.2">
      <c r="A13" t="s">
        <v>41</v>
      </c>
      <c r="B13">
        <v>3</v>
      </c>
      <c r="C13">
        <v>115.05371106208956</v>
      </c>
      <c r="D13">
        <v>38.351237020696523</v>
      </c>
      <c r="E13">
        <v>6.9079150300838208</v>
      </c>
      <c r="I13" t="s">
        <v>41</v>
      </c>
      <c r="J13">
        <v>3</v>
      </c>
      <c r="K13">
        <v>127.17695995985399</v>
      </c>
      <c r="L13">
        <v>42.392319986617998</v>
      </c>
      <c r="M13">
        <v>4.8623267190550266</v>
      </c>
    </row>
    <row r="14" spans="1:20" ht="16" thickBot="1" x14ac:dyDescent="0.25">
      <c r="A14" s="4" t="s">
        <v>42</v>
      </c>
      <c r="B14" s="4">
        <v>3</v>
      </c>
      <c r="C14" s="4">
        <v>127.17695995985399</v>
      </c>
      <c r="D14" s="4">
        <v>42.392319986617998</v>
      </c>
      <c r="E14" s="4">
        <v>4.8623267190550266</v>
      </c>
      <c r="I14" s="4" t="s">
        <v>42</v>
      </c>
      <c r="J14" s="4">
        <v>3</v>
      </c>
      <c r="K14" s="4">
        <v>113.69515278381905</v>
      </c>
      <c r="L14" s="4">
        <v>37.898384261273016</v>
      </c>
      <c r="M14" s="4">
        <v>21.468613203735732</v>
      </c>
    </row>
    <row r="17" spans="1:15" ht="16" thickBot="1" x14ac:dyDescent="0.25">
      <c r="A17" t="s">
        <v>44</v>
      </c>
      <c r="I17" t="s">
        <v>44</v>
      </c>
    </row>
    <row r="18" spans="1:15" x14ac:dyDescent="0.2">
      <c r="A18" s="3" t="s">
        <v>45</v>
      </c>
      <c r="B18" s="3" t="s">
        <v>46</v>
      </c>
      <c r="C18" s="3" t="s">
        <v>47</v>
      </c>
      <c r="D18" s="3" t="s">
        <v>48</v>
      </c>
      <c r="E18" s="3" t="s">
        <v>49</v>
      </c>
      <c r="F18" s="3" t="s">
        <v>50</v>
      </c>
      <c r="G18" s="3" t="s">
        <v>51</v>
      </c>
      <c r="I18" s="3" t="s">
        <v>45</v>
      </c>
      <c r="J18" s="3" t="s">
        <v>46</v>
      </c>
      <c r="K18" s="3" t="s">
        <v>47</v>
      </c>
      <c r="L18" s="3" t="s">
        <v>48</v>
      </c>
      <c r="M18" s="3" t="s">
        <v>49</v>
      </c>
      <c r="N18" s="3" t="s">
        <v>50</v>
      </c>
      <c r="O18" s="3" t="s">
        <v>51</v>
      </c>
    </row>
    <row r="19" spans="1:15" x14ac:dyDescent="0.2">
      <c r="A19" t="s">
        <v>52</v>
      </c>
      <c r="B19">
        <v>24.495527306191036</v>
      </c>
      <c r="C19">
        <v>1</v>
      </c>
      <c r="D19">
        <v>24.495527306191036</v>
      </c>
      <c r="E19">
        <v>4.1622810861948887</v>
      </c>
      <c r="F19">
        <v>0.11092256863582133</v>
      </c>
      <c r="G19">
        <v>7.708647422176786</v>
      </c>
      <c r="I19" t="s">
        <v>52</v>
      </c>
      <c r="J19">
        <v>30.293187455297875</v>
      </c>
      <c r="K19">
        <v>1</v>
      </c>
      <c r="L19">
        <v>30.293187455297875</v>
      </c>
      <c r="M19">
        <v>2.3009575460751095</v>
      </c>
      <c r="N19">
        <v>0.20389075846843985</v>
      </c>
      <c r="O19">
        <v>7.708647422176786</v>
      </c>
    </row>
    <row r="20" spans="1:15" x14ac:dyDescent="0.2">
      <c r="A20" t="s">
        <v>53</v>
      </c>
      <c r="B20">
        <v>23.540483498277695</v>
      </c>
      <c r="C20">
        <v>4</v>
      </c>
      <c r="D20">
        <v>5.8851208745694237</v>
      </c>
      <c r="I20" t="s">
        <v>53</v>
      </c>
      <c r="J20">
        <v>52.661879845581517</v>
      </c>
      <c r="K20">
        <v>4</v>
      </c>
      <c r="L20">
        <v>13.165469961395379</v>
      </c>
    </row>
    <row r="22" spans="1:15" ht="16" thickBot="1" x14ac:dyDescent="0.25">
      <c r="A22" s="4" t="s">
        <v>55</v>
      </c>
      <c r="B22" s="4">
        <v>48.036010804468731</v>
      </c>
      <c r="C22" s="4">
        <v>5</v>
      </c>
      <c r="D22" s="4"/>
      <c r="E22" s="4"/>
      <c r="F22" s="4"/>
      <c r="G22" s="4"/>
      <c r="I22" s="4" t="s">
        <v>55</v>
      </c>
      <c r="J22" s="4">
        <v>82.955067300879392</v>
      </c>
      <c r="K22" s="4">
        <v>5</v>
      </c>
      <c r="L22" s="4"/>
      <c r="M22" s="4"/>
      <c r="N22" s="4"/>
      <c r="O22" s="4"/>
    </row>
  </sheetData>
  <mergeCells count="2">
    <mergeCell ref="P10:Q10"/>
    <mergeCell ref="P11:Q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4196-DFFD-1345-903A-A9A022E675C4}">
  <sheetPr>
    <tabColor rgb="FF00B050"/>
  </sheetPr>
  <dimension ref="A1:T57"/>
  <sheetViews>
    <sheetView workbookViewId="0">
      <selection activeCell="H41" sqref="H41"/>
    </sheetView>
  </sheetViews>
  <sheetFormatPr baseColWidth="10" defaultRowHeight="15" x14ac:dyDescent="0.2"/>
  <sheetData>
    <row r="1" spans="1:20" x14ac:dyDescent="0.2">
      <c r="A1" s="5"/>
      <c r="B1" s="109" t="s">
        <v>239</v>
      </c>
      <c r="C1" s="109"/>
      <c r="D1" s="109"/>
      <c r="E1" s="109"/>
      <c r="F1" s="84"/>
      <c r="H1" s="109" t="s">
        <v>245</v>
      </c>
      <c r="I1" s="109"/>
      <c r="J1" s="109"/>
      <c r="K1" s="109"/>
      <c r="M1" t="s">
        <v>95</v>
      </c>
      <c r="O1" s="110" t="s">
        <v>248</v>
      </c>
      <c r="P1" s="110"/>
      <c r="S1" s="114" t="s">
        <v>409</v>
      </c>
      <c r="T1" s="114"/>
    </row>
    <row r="2" spans="1:20" x14ac:dyDescent="0.2">
      <c r="A2" s="85" t="s">
        <v>29</v>
      </c>
      <c r="B2" t="s">
        <v>161</v>
      </c>
      <c r="C2" t="s">
        <v>241</v>
      </c>
      <c r="D2" t="s">
        <v>242</v>
      </c>
      <c r="E2" t="s">
        <v>55</v>
      </c>
      <c r="G2" s="12" t="s">
        <v>29</v>
      </c>
      <c r="H2" t="s">
        <v>161</v>
      </c>
      <c r="I2" t="s">
        <v>241</v>
      </c>
      <c r="J2" t="s">
        <v>242</v>
      </c>
      <c r="K2" t="s">
        <v>55</v>
      </c>
      <c r="S2" s="167" t="s">
        <v>54</v>
      </c>
      <c r="T2" s="167"/>
    </row>
    <row r="3" spans="1:20" ht="16" thickBot="1" x14ac:dyDescent="0.25">
      <c r="A3" s="7"/>
      <c r="B3">
        <v>79</v>
      </c>
      <c r="C3">
        <v>30</v>
      </c>
      <c r="D3">
        <v>3</v>
      </c>
      <c r="E3">
        <f>(B3+C3+D3)</f>
        <v>112</v>
      </c>
      <c r="H3">
        <v>12</v>
      </c>
      <c r="I3">
        <v>66</v>
      </c>
      <c r="J3">
        <v>33</v>
      </c>
      <c r="K3">
        <f>(H3+I3+J3)</f>
        <v>111</v>
      </c>
      <c r="M3" t="s">
        <v>96</v>
      </c>
    </row>
    <row r="4" spans="1:20" x14ac:dyDescent="0.2">
      <c r="A4" s="7" t="s">
        <v>156</v>
      </c>
      <c r="B4">
        <f>(B3/E3)*100</f>
        <v>70.535714285714292</v>
      </c>
      <c r="C4">
        <f>(C3/E3)*100</f>
        <v>26.785714285714285</v>
      </c>
      <c r="D4">
        <f>(D3/E3)*100</f>
        <v>2.6785714285714284</v>
      </c>
      <c r="G4" t="s">
        <v>156</v>
      </c>
      <c r="H4">
        <f>(H3/K3)*100</f>
        <v>10.810810810810811</v>
      </c>
      <c r="I4">
        <f>(I3/K3)*100</f>
        <v>59.45945945945946</v>
      </c>
      <c r="J4">
        <f>(J3/K3)*100</f>
        <v>29.72972972972973</v>
      </c>
      <c r="M4" s="3" t="s">
        <v>97</v>
      </c>
      <c r="N4" s="3" t="s">
        <v>98</v>
      </c>
      <c r="O4" s="3" t="s">
        <v>99</v>
      </c>
      <c r="P4" s="3" t="s">
        <v>100</v>
      </c>
      <c r="Q4" s="3" t="s">
        <v>39</v>
      </c>
    </row>
    <row r="5" spans="1:20" x14ac:dyDescent="0.2">
      <c r="A5" s="7"/>
      <c r="M5" t="s">
        <v>101</v>
      </c>
      <c r="N5">
        <v>3</v>
      </c>
      <c r="O5">
        <v>224.76215733818282</v>
      </c>
      <c r="P5">
        <v>74.92071911272761</v>
      </c>
      <c r="Q5">
        <v>64.055963440736107</v>
      </c>
    </row>
    <row r="6" spans="1:20" ht="16" thickBot="1" x14ac:dyDescent="0.25">
      <c r="A6" s="86" t="s">
        <v>28</v>
      </c>
      <c r="B6" t="s">
        <v>161</v>
      </c>
      <c r="C6" t="s">
        <v>241</v>
      </c>
      <c r="D6" t="s">
        <v>242</v>
      </c>
      <c r="E6" t="s">
        <v>55</v>
      </c>
      <c r="G6" s="88" t="s">
        <v>28</v>
      </c>
      <c r="H6" t="s">
        <v>161</v>
      </c>
      <c r="I6" t="s">
        <v>241</v>
      </c>
      <c r="J6" t="s">
        <v>242</v>
      </c>
      <c r="K6" t="s">
        <v>55</v>
      </c>
      <c r="M6" s="4" t="s">
        <v>102</v>
      </c>
      <c r="N6" s="4">
        <v>3</v>
      </c>
      <c r="O6" s="4">
        <v>40.114840114840113</v>
      </c>
      <c r="P6" s="4">
        <v>13.371613371613371</v>
      </c>
      <c r="Q6" s="4">
        <v>10.076006155602272</v>
      </c>
    </row>
    <row r="7" spans="1:20" x14ac:dyDescent="0.2">
      <c r="A7" s="7"/>
      <c r="B7">
        <v>85</v>
      </c>
      <c r="C7">
        <v>39</v>
      </c>
      <c r="D7">
        <v>2</v>
      </c>
      <c r="E7">
        <f>(B7+C7+D7)</f>
        <v>126</v>
      </c>
      <c r="H7">
        <v>61</v>
      </c>
      <c r="I7">
        <v>72</v>
      </c>
      <c r="J7">
        <v>9</v>
      </c>
      <c r="K7">
        <f>(H7+I7+J7)</f>
        <v>142</v>
      </c>
    </row>
    <row r="8" spans="1:20" x14ac:dyDescent="0.2">
      <c r="A8" s="7" t="s">
        <v>156</v>
      </c>
      <c r="B8">
        <f>(B7/E7)*100</f>
        <v>67.460317460317469</v>
      </c>
      <c r="C8">
        <f>(C7/E7)*100</f>
        <v>30.952380952380953</v>
      </c>
      <c r="D8">
        <f>(D7/E7)*100</f>
        <v>1.5873015873015872</v>
      </c>
      <c r="G8" t="s">
        <v>156</v>
      </c>
      <c r="H8">
        <f>(H7/K7)*100</f>
        <v>42.95774647887324</v>
      </c>
      <c r="I8">
        <f>(I7/K7)*100</f>
        <v>50.704225352112672</v>
      </c>
      <c r="J8">
        <f>(J7/K7)*100</f>
        <v>6.3380281690140841</v>
      </c>
    </row>
    <row r="9" spans="1:20" ht="16" thickBot="1" x14ac:dyDescent="0.25">
      <c r="A9" s="7"/>
      <c r="M9" t="s">
        <v>103</v>
      </c>
    </row>
    <row r="10" spans="1:20" x14ac:dyDescent="0.2">
      <c r="A10" s="87" t="s">
        <v>30</v>
      </c>
      <c r="B10" t="s">
        <v>161</v>
      </c>
      <c r="C10" t="s">
        <v>241</v>
      </c>
      <c r="D10" t="s">
        <v>242</v>
      </c>
      <c r="E10" t="s">
        <v>55</v>
      </c>
      <c r="G10" s="89" t="s">
        <v>30</v>
      </c>
      <c r="H10" t="s">
        <v>161</v>
      </c>
      <c r="I10" t="s">
        <v>241</v>
      </c>
      <c r="J10" t="s">
        <v>242</v>
      </c>
      <c r="K10" t="s">
        <v>55</v>
      </c>
      <c r="M10" s="3" t="s">
        <v>104</v>
      </c>
      <c r="N10" s="3" t="s">
        <v>105</v>
      </c>
      <c r="O10" s="3" t="s">
        <v>106</v>
      </c>
      <c r="P10" s="3" t="s">
        <v>107</v>
      </c>
      <c r="Q10" s="3" t="s">
        <v>49</v>
      </c>
      <c r="R10" s="3" t="s">
        <v>108</v>
      </c>
      <c r="S10" s="3" t="s">
        <v>109</v>
      </c>
    </row>
    <row r="11" spans="1:20" x14ac:dyDescent="0.2">
      <c r="A11" s="7"/>
      <c r="B11">
        <v>78</v>
      </c>
      <c r="C11">
        <v>100</v>
      </c>
      <c r="D11">
        <v>5</v>
      </c>
      <c r="E11">
        <f>(B11+C11+D11)</f>
        <v>183</v>
      </c>
      <c r="H11">
        <v>64</v>
      </c>
      <c r="I11">
        <v>63</v>
      </c>
      <c r="J11">
        <v>11</v>
      </c>
      <c r="K11">
        <f>(H11+I11+J11)</f>
        <v>138</v>
      </c>
      <c r="M11" t="s">
        <v>110</v>
      </c>
      <c r="N11">
        <v>5682.4386262962907</v>
      </c>
      <c r="O11">
        <v>1</v>
      </c>
      <c r="P11">
        <v>5682.4386262962907</v>
      </c>
      <c r="Q11">
        <v>153.30602052631738</v>
      </c>
      <c r="R11">
        <v>2.4455652630949316E-4</v>
      </c>
      <c r="S11">
        <v>7.708647422176786</v>
      </c>
    </row>
    <row r="12" spans="1:20" x14ac:dyDescent="0.2">
      <c r="A12" s="7" t="s">
        <v>156</v>
      </c>
      <c r="B12">
        <f>(B11/E11)*100</f>
        <v>42.622950819672127</v>
      </c>
      <c r="C12">
        <f>(C11/E11)*100</f>
        <v>54.644808743169406</v>
      </c>
      <c r="D12">
        <f>(D11/E11)*100</f>
        <v>2.7322404371584699</v>
      </c>
      <c r="G12" t="s">
        <v>156</v>
      </c>
      <c r="H12">
        <f>(H11/K11)*100</f>
        <v>46.376811594202898</v>
      </c>
      <c r="I12">
        <f>(I11/K11)*100</f>
        <v>45.652173913043477</v>
      </c>
      <c r="J12">
        <f>(J11/K11)*100</f>
        <v>7.9710144927536222</v>
      </c>
      <c r="M12" t="s">
        <v>111</v>
      </c>
      <c r="N12">
        <v>148.26393919267667</v>
      </c>
      <c r="O12">
        <v>4</v>
      </c>
      <c r="P12">
        <v>37.065984798169168</v>
      </c>
    </row>
    <row r="14" spans="1:20" ht="16" thickBot="1" x14ac:dyDescent="0.25">
      <c r="B14" s="109" t="s">
        <v>240</v>
      </c>
      <c r="C14" s="109"/>
      <c r="D14" s="109"/>
      <c r="E14" s="109"/>
      <c r="H14" s="109" t="s">
        <v>246</v>
      </c>
      <c r="I14" s="109"/>
      <c r="J14" s="109"/>
      <c r="K14" s="109"/>
      <c r="M14" s="4" t="s">
        <v>55</v>
      </c>
      <c r="N14" s="4">
        <v>5830.7025654889676</v>
      </c>
      <c r="O14" s="4">
        <v>5</v>
      </c>
      <c r="P14" s="4"/>
      <c r="Q14" s="4"/>
      <c r="R14" s="4"/>
      <c r="S14" s="4"/>
    </row>
    <row r="15" spans="1:20" x14ac:dyDescent="0.2">
      <c r="A15" s="85" t="s">
        <v>29</v>
      </c>
      <c r="B15" t="s">
        <v>161</v>
      </c>
      <c r="C15" t="s">
        <v>241</v>
      </c>
      <c r="D15" t="s">
        <v>242</v>
      </c>
      <c r="E15" t="s">
        <v>55</v>
      </c>
      <c r="G15" s="12" t="s">
        <v>29</v>
      </c>
      <c r="H15" t="s">
        <v>161</v>
      </c>
      <c r="I15" t="s">
        <v>241</v>
      </c>
      <c r="J15" t="s">
        <v>242</v>
      </c>
      <c r="K15" t="s">
        <v>55</v>
      </c>
    </row>
    <row r="16" spans="1:20" x14ac:dyDescent="0.2">
      <c r="A16" s="7"/>
      <c r="B16">
        <v>85</v>
      </c>
      <c r="C16">
        <v>13</v>
      </c>
      <c r="D16">
        <v>3</v>
      </c>
      <c r="E16">
        <f>(B16+C16+D16)</f>
        <v>101</v>
      </c>
      <c r="H16">
        <v>22</v>
      </c>
      <c r="I16">
        <v>88</v>
      </c>
      <c r="J16">
        <v>20</v>
      </c>
      <c r="K16">
        <f>(H16+I16+J16)</f>
        <v>130</v>
      </c>
    </row>
    <row r="17" spans="1:19" x14ac:dyDescent="0.2">
      <c r="A17" s="7" t="s">
        <v>156</v>
      </c>
      <c r="B17">
        <f>(B16/E16)*100</f>
        <v>84.158415841584159</v>
      </c>
      <c r="C17">
        <f>(C16/E16)*100</f>
        <v>12.871287128712872</v>
      </c>
      <c r="D17">
        <f>(D16/E16)*100</f>
        <v>2.9702970297029703</v>
      </c>
      <c r="G17" t="s">
        <v>156</v>
      </c>
      <c r="H17">
        <f>(H16/K16)*100</f>
        <v>16.923076923076923</v>
      </c>
      <c r="I17">
        <f>(I16/K16)*100</f>
        <v>67.692307692307693</v>
      </c>
      <c r="J17">
        <f>(J16/K16)*100</f>
        <v>15.384615384615385</v>
      </c>
      <c r="M17" t="s">
        <v>95</v>
      </c>
      <c r="O17" s="110" t="s">
        <v>249</v>
      </c>
      <c r="P17" s="110"/>
    </row>
    <row r="18" spans="1:19" x14ac:dyDescent="0.2">
      <c r="A18" s="7"/>
    </row>
    <row r="19" spans="1:19" ht="16" thickBot="1" x14ac:dyDescent="0.25">
      <c r="A19" s="86" t="s">
        <v>28</v>
      </c>
      <c r="B19" t="s">
        <v>161</v>
      </c>
      <c r="C19" t="s">
        <v>241</v>
      </c>
      <c r="D19" t="s">
        <v>242</v>
      </c>
      <c r="E19" t="s">
        <v>55</v>
      </c>
      <c r="G19" s="88" t="s">
        <v>28</v>
      </c>
      <c r="H19" t="s">
        <v>161</v>
      </c>
      <c r="I19" t="s">
        <v>241</v>
      </c>
      <c r="J19" t="s">
        <v>242</v>
      </c>
      <c r="K19" t="s">
        <v>55</v>
      </c>
      <c r="M19" t="s">
        <v>96</v>
      </c>
    </row>
    <row r="20" spans="1:19" x14ac:dyDescent="0.2">
      <c r="A20" s="7"/>
      <c r="B20">
        <v>99</v>
      </c>
      <c r="C20">
        <v>13</v>
      </c>
      <c r="D20">
        <v>0</v>
      </c>
      <c r="E20">
        <f>(B20+C20+D20)</f>
        <v>112</v>
      </c>
      <c r="H20">
        <v>52</v>
      </c>
      <c r="I20">
        <v>63</v>
      </c>
      <c r="J20">
        <v>26</v>
      </c>
      <c r="K20">
        <f>(H20+I20+J20)</f>
        <v>141</v>
      </c>
      <c r="M20" s="3" t="s">
        <v>97</v>
      </c>
      <c r="N20" s="3" t="s">
        <v>98</v>
      </c>
      <c r="O20" s="3" t="s">
        <v>99</v>
      </c>
      <c r="P20" s="3" t="s">
        <v>100</v>
      </c>
      <c r="Q20" s="3" t="s">
        <v>39</v>
      </c>
    </row>
    <row r="21" spans="1:19" x14ac:dyDescent="0.2">
      <c r="A21" s="7" t="s">
        <v>156</v>
      </c>
      <c r="B21">
        <f>(B20/E20)*100</f>
        <v>88.392857142857139</v>
      </c>
      <c r="C21">
        <f>(C20/E20)*100</f>
        <v>11.607142857142858</v>
      </c>
      <c r="D21">
        <f>(D20/E20)*100</f>
        <v>0</v>
      </c>
      <c r="G21" t="s">
        <v>156</v>
      </c>
      <c r="H21">
        <f>(H20/K20)*100</f>
        <v>36.87943262411347</v>
      </c>
      <c r="I21">
        <f>(I20/K20)*100</f>
        <v>44.680851063829785</v>
      </c>
      <c r="J21">
        <f>(J20/K20)*100</f>
        <v>18.439716312056735</v>
      </c>
      <c r="M21" t="s">
        <v>101</v>
      </c>
      <c r="N21">
        <v>3</v>
      </c>
      <c r="O21">
        <v>229.27974802974802</v>
      </c>
      <c r="P21">
        <v>76.426582676582669</v>
      </c>
      <c r="Q21">
        <v>116.29284601538166</v>
      </c>
    </row>
    <row r="22" spans="1:19" ht="16" thickBot="1" x14ac:dyDescent="0.25">
      <c r="A22" s="7"/>
      <c r="M22" s="4" t="s">
        <v>102</v>
      </c>
      <c r="N22" s="4">
        <v>3</v>
      </c>
      <c r="O22" s="4">
        <v>124.02322561461462</v>
      </c>
      <c r="P22" s="4">
        <v>41.341075204871537</v>
      </c>
      <c r="Q22" s="4">
        <v>15.306871131441422</v>
      </c>
    </row>
    <row r="23" spans="1:19" x14ac:dyDescent="0.2">
      <c r="A23" s="87" t="s">
        <v>30</v>
      </c>
      <c r="B23" t="s">
        <v>161</v>
      </c>
      <c r="C23" t="s">
        <v>241</v>
      </c>
      <c r="D23" t="s">
        <v>242</v>
      </c>
      <c r="E23" t="s">
        <v>55</v>
      </c>
      <c r="G23" s="89" t="s">
        <v>30</v>
      </c>
      <c r="H23" t="s">
        <v>161</v>
      </c>
      <c r="I23" t="s">
        <v>241</v>
      </c>
      <c r="J23" t="s">
        <v>242</v>
      </c>
      <c r="K23" t="s">
        <v>55</v>
      </c>
    </row>
    <row r="24" spans="1:19" x14ac:dyDescent="0.2">
      <c r="A24" s="7"/>
      <c r="B24">
        <v>62</v>
      </c>
      <c r="C24">
        <v>79</v>
      </c>
      <c r="D24">
        <v>12</v>
      </c>
      <c r="E24">
        <f>(B24+C24+D24)</f>
        <v>153</v>
      </c>
      <c r="H24">
        <v>66</v>
      </c>
      <c r="I24">
        <v>107</v>
      </c>
      <c r="J24">
        <v>5</v>
      </c>
      <c r="K24">
        <f>(H24+I24+J24)</f>
        <v>178</v>
      </c>
    </row>
    <row r="25" spans="1:19" ht="16" thickBot="1" x14ac:dyDescent="0.25">
      <c r="A25" s="7" t="s">
        <v>156</v>
      </c>
      <c r="B25">
        <f>(B24/E24)*100</f>
        <v>40.522875816993462</v>
      </c>
      <c r="C25">
        <f>(C24/E24)*100</f>
        <v>51.633986928104584</v>
      </c>
      <c r="D25">
        <f>(D24/E24)*100</f>
        <v>7.8431372549019605</v>
      </c>
      <c r="G25" t="s">
        <v>156</v>
      </c>
      <c r="H25">
        <f>(H24/K24)*100</f>
        <v>37.078651685393261</v>
      </c>
      <c r="I25">
        <f>(I24/K24)*100</f>
        <v>60.112359550561798</v>
      </c>
      <c r="J25">
        <f>(J24/K24)*100</f>
        <v>2.8089887640449436</v>
      </c>
      <c r="M25" t="s">
        <v>103</v>
      </c>
    </row>
    <row r="26" spans="1:19" x14ac:dyDescent="0.2">
      <c r="M26" s="3" t="s">
        <v>104</v>
      </c>
      <c r="N26" s="3" t="s">
        <v>105</v>
      </c>
      <c r="O26" s="3" t="s">
        <v>106</v>
      </c>
      <c r="P26" s="3" t="s">
        <v>107</v>
      </c>
      <c r="Q26" s="3" t="s">
        <v>49</v>
      </c>
      <c r="R26" s="3" t="s">
        <v>108</v>
      </c>
      <c r="S26" s="3" t="s">
        <v>109</v>
      </c>
    </row>
    <row r="27" spans="1:19" x14ac:dyDescent="0.2">
      <c r="B27" s="109" t="s">
        <v>243</v>
      </c>
      <c r="C27" s="109"/>
      <c r="D27" s="109"/>
      <c r="E27" s="109"/>
      <c r="H27" s="109" t="s">
        <v>247</v>
      </c>
      <c r="I27" s="109"/>
      <c r="J27" s="109"/>
      <c r="K27" s="109"/>
      <c r="M27" t="s">
        <v>110</v>
      </c>
      <c r="N27">
        <v>1846.4892518212475</v>
      </c>
      <c r="O27">
        <v>1</v>
      </c>
      <c r="P27">
        <v>1846.4892518212475</v>
      </c>
      <c r="Q27">
        <v>28.06220699944479</v>
      </c>
      <c r="R27">
        <v>6.0979753619571581E-3</v>
      </c>
      <c r="S27">
        <v>7.708647422176786</v>
      </c>
    </row>
    <row r="28" spans="1:19" x14ac:dyDescent="0.2">
      <c r="A28" s="85" t="s">
        <v>29</v>
      </c>
      <c r="B28" t="s">
        <v>161</v>
      </c>
      <c r="C28" t="s">
        <v>241</v>
      </c>
      <c r="D28" t="s">
        <v>242</v>
      </c>
      <c r="E28" t="s">
        <v>55</v>
      </c>
      <c r="G28" s="12" t="s">
        <v>29</v>
      </c>
      <c r="H28" t="s">
        <v>161</v>
      </c>
      <c r="I28" t="s">
        <v>241</v>
      </c>
      <c r="J28" t="s">
        <v>242</v>
      </c>
      <c r="K28" t="s">
        <v>55</v>
      </c>
      <c r="M28" t="s">
        <v>111</v>
      </c>
      <c r="N28">
        <v>263.19943429364344</v>
      </c>
      <c r="O28">
        <v>4</v>
      </c>
      <c r="P28">
        <v>65.799858573410859</v>
      </c>
    </row>
    <row r="29" spans="1:19" x14ac:dyDescent="0.2">
      <c r="A29" s="7"/>
      <c r="B29">
        <v>103</v>
      </c>
      <c r="C29">
        <v>41</v>
      </c>
      <c r="D29">
        <v>3</v>
      </c>
      <c r="E29">
        <f>(B29+C29+D29)</f>
        <v>147</v>
      </c>
      <c r="H29">
        <v>13</v>
      </c>
      <c r="I29">
        <v>71</v>
      </c>
      <c r="J29">
        <v>21</v>
      </c>
      <c r="K29">
        <f>(H29+I29+J29)</f>
        <v>105</v>
      </c>
    </row>
    <row r="30" spans="1:19" ht="16" thickBot="1" x14ac:dyDescent="0.25">
      <c r="A30" s="7" t="s">
        <v>156</v>
      </c>
      <c r="B30">
        <f>(B29/E29)*100</f>
        <v>70.068027210884352</v>
      </c>
      <c r="C30">
        <f>(C29/E29)*100</f>
        <v>27.89115646258503</v>
      </c>
      <c r="D30">
        <f>(D29/E29)*100</f>
        <v>2.0408163265306123</v>
      </c>
      <c r="G30" t="s">
        <v>156</v>
      </c>
      <c r="H30">
        <f>(H29/K29)*100</f>
        <v>12.380952380952381</v>
      </c>
      <c r="I30">
        <f>(I29/K29)*100</f>
        <v>67.61904761904762</v>
      </c>
      <c r="J30">
        <f>(J29/K29)*100</f>
        <v>20</v>
      </c>
      <c r="M30" s="4" t="s">
        <v>55</v>
      </c>
      <c r="N30" s="4">
        <v>2109.688686114891</v>
      </c>
      <c r="O30" s="4">
        <v>5</v>
      </c>
      <c r="P30" s="4"/>
      <c r="Q30" s="4"/>
      <c r="R30" s="4"/>
      <c r="S30" s="4"/>
    </row>
    <row r="31" spans="1:19" x14ac:dyDescent="0.2">
      <c r="A31" s="7"/>
    </row>
    <row r="32" spans="1:19" x14ac:dyDescent="0.2">
      <c r="A32" s="86" t="s">
        <v>28</v>
      </c>
      <c r="B32" t="s">
        <v>161</v>
      </c>
      <c r="C32" t="s">
        <v>241</v>
      </c>
      <c r="D32" t="s">
        <v>242</v>
      </c>
      <c r="E32" t="s">
        <v>55</v>
      </c>
      <c r="G32" s="88" t="s">
        <v>28</v>
      </c>
      <c r="H32" t="s">
        <v>161</v>
      </c>
      <c r="I32" t="s">
        <v>241</v>
      </c>
      <c r="J32" t="s">
        <v>242</v>
      </c>
      <c r="K32" t="s">
        <v>55</v>
      </c>
    </row>
    <row r="33" spans="1:19" x14ac:dyDescent="0.2">
      <c r="A33" s="7"/>
      <c r="B33">
        <v>105</v>
      </c>
      <c r="C33">
        <v>32</v>
      </c>
      <c r="D33">
        <v>6</v>
      </c>
      <c r="E33">
        <f>(B33+C33+D33)</f>
        <v>143</v>
      </c>
      <c r="H33">
        <v>38</v>
      </c>
      <c r="I33">
        <v>47</v>
      </c>
      <c r="J33">
        <v>1</v>
      </c>
      <c r="K33">
        <f>(H33+I33+J33)</f>
        <v>86</v>
      </c>
      <c r="M33" t="s">
        <v>95</v>
      </c>
      <c r="O33" s="110" t="s">
        <v>250</v>
      </c>
      <c r="P33" s="110"/>
    </row>
    <row r="34" spans="1:19" x14ac:dyDescent="0.2">
      <c r="A34" s="7" t="s">
        <v>156</v>
      </c>
      <c r="B34">
        <f>(B33/E33)*100</f>
        <v>73.426573426573427</v>
      </c>
      <c r="C34">
        <f>(C33/E33)*100</f>
        <v>22.377622377622377</v>
      </c>
      <c r="D34">
        <f>(D33/E33)*100</f>
        <v>4.1958041958041958</v>
      </c>
      <c r="G34" t="s">
        <v>156</v>
      </c>
      <c r="H34">
        <f>(H33/K33)*100</f>
        <v>44.186046511627907</v>
      </c>
      <c r="I34">
        <f>(I33/K33)*100</f>
        <v>54.651162790697668</v>
      </c>
      <c r="J34">
        <f>(J33/K33)*100</f>
        <v>1.1627906976744187</v>
      </c>
    </row>
    <row r="35" spans="1:19" ht="16" thickBot="1" x14ac:dyDescent="0.25">
      <c r="A35" s="7"/>
      <c r="M35" t="s">
        <v>96</v>
      </c>
    </row>
    <row r="36" spans="1:19" x14ac:dyDescent="0.2">
      <c r="A36" s="87" t="s">
        <v>30</v>
      </c>
      <c r="B36" t="s">
        <v>161</v>
      </c>
      <c r="C36" t="s">
        <v>241</v>
      </c>
      <c r="D36" t="s">
        <v>242</v>
      </c>
      <c r="E36" t="s">
        <v>55</v>
      </c>
      <c r="G36" s="89" t="s">
        <v>30</v>
      </c>
      <c r="H36" t="s">
        <v>161</v>
      </c>
      <c r="I36" t="s">
        <v>241</v>
      </c>
      <c r="J36" t="s">
        <v>242</v>
      </c>
      <c r="K36" t="s">
        <v>55</v>
      </c>
      <c r="M36" s="3" t="s">
        <v>97</v>
      </c>
      <c r="N36" s="3" t="s">
        <v>98</v>
      </c>
      <c r="O36" s="3" t="s">
        <v>99</v>
      </c>
      <c r="P36" s="3" t="s">
        <v>100</v>
      </c>
      <c r="Q36" s="3" t="s">
        <v>39</v>
      </c>
    </row>
    <row r="37" spans="1:19" x14ac:dyDescent="0.2">
      <c r="A37" s="7"/>
      <c r="B37">
        <v>70</v>
      </c>
      <c r="C37">
        <v>70</v>
      </c>
      <c r="D37">
        <v>0</v>
      </c>
      <c r="E37">
        <f>(B37+C37+D37)</f>
        <v>140</v>
      </c>
      <c r="H37">
        <v>64</v>
      </c>
      <c r="I37">
        <v>79</v>
      </c>
      <c r="J37">
        <v>6</v>
      </c>
      <c r="K37">
        <f>(H37+I37+J37)</f>
        <v>149</v>
      </c>
      <c r="M37" t="s">
        <v>101</v>
      </c>
      <c r="N37">
        <v>3</v>
      </c>
      <c r="O37">
        <v>133.14582663666559</v>
      </c>
      <c r="P37">
        <v>44.381942212221865</v>
      </c>
      <c r="Q37">
        <v>24.774508734329878</v>
      </c>
    </row>
    <row r="38" spans="1:19" ht="16" thickBot="1" x14ac:dyDescent="0.25">
      <c r="A38" s="7" t="s">
        <v>156</v>
      </c>
      <c r="B38">
        <f>(B37/E37)*100</f>
        <v>50</v>
      </c>
      <c r="C38">
        <f>(C37/E37)*100</f>
        <v>50</v>
      </c>
      <c r="D38">
        <f>(D37/E37)*100</f>
        <v>0</v>
      </c>
      <c r="G38" t="s">
        <v>156</v>
      </c>
      <c r="H38">
        <f>(H37/K37)*100</f>
        <v>42.95302013422819</v>
      </c>
      <c r="I38">
        <f>(I37/K37)*100</f>
        <v>53.020134228187921</v>
      </c>
      <c r="J38">
        <f>(J37/K37)*100</f>
        <v>4.0268456375838921</v>
      </c>
      <c r="M38" s="4" t="s">
        <v>102</v>
      </c>
      <c r="N38" s="4">
        <v>3</v>
      </c>
      <c r="O38" s="4">
        <v>126.40848341382434</v>
      </c>
      <c r="P38" s="4">
        <v>42.13616113794145</v>
      </c>
      <c r="Q38" s="4">
        <v>22.114388387309649</v>
      </c>
    </row>
    <row r="40" spans="1:19" x14ac:dyDescent="0.2">
      <c r="B40" s="109" t="s">
        <v>244</v>
      </c>
      <c r="C40" s="109"/>
      <c r="D40" s="109"/>
      <c r="E40" s="109"/>
      <c r="H40" s="109" t="s">
        <v>410</v>
      </c>
      <c r="I40" s="109"/>
      <c r="J40" s="109"/>
      <c r="K40" s="109"/>
    </row>
    <row r="41" spans="1:19" ht="16" thickBot="1" x14ac:dyDescent="0.25">
      <c r="A41" s="85" t="s">
        <v>29</v>
      </c>
      <c r="B41" t="s">
        <v>161</v>
      </c>
      <c r="C41" t="s">
        <v>241</v>
      </c>
      <c r="D41" t="s">
        <v>242</v>
      </c>
      <c r="G41" s="12" t="s">
        <v>29</v>
      </c>
      <c r="H41" t="s">
        <v>161</v>
      </c>
      <c r="I41" t="s">
        <v>241</v>
      </c>
      <c r="J41" t="s">
        <v>242</v>
      </c>
      <c r="M41" t="s">
        <v>103</v>
      </c>
    </row>
    <row r="42" spans="1:19" x14ac:dyDescent="0.2">
      <c r="A42" s="7"/>
      <c r="B42">
        <f>AVERAGE(B3,B16,B29)</f>
        <v>89</v>
      </c>
      <c r="C42">
        <f>AVERAGE(C3,C16,C29)</f>
        <v>28</v>
      </c>
      <c r="D42">
        <f>AVERAGE(D3,D16,D29)</f>
        <v>3</v>
      </c>
      <c r="E42" t="s">
        <v>55</v>
      </c>
      <c r="H42">
        <f>AVERAGE(H3,H16,H29)</f>
        <v>15.666666666666666</v>
      </c>
      <c r="I42">
        <f>AVERAGE(I3,I16,I29)</f>
        <v>75</v>
      </c>
      <c r="J42">
        <f>AVERAGE(J3,J16,J29)</f>
        <v>24.666666666666668</v>
      </c>
      <c r="K42" t="s">
        <v>55</v>
      </c>
      <c r="M42" s="3" t="s">
        <v>104</v>
      </c>
      <c r="N42" s="3" t="s">
        <v>105</v>
      </c>
      <c r="O42" s="3" t="s">
        <v>106</v>
      </c>
      <c r="P42" s="3" t="s">
        <v>107</v>
      </c>
      <c r="Q42" s="3" t="s">
        <v>49</v>
      </c>
      <c r="R42" s="3" t="s">
        <v>108</v>
      </c>
      <c r="S42" s="3" t="s">
        <v>109</v>
      </c>
    </row>
    <row r="43" spans="1:19" x14ac:dyDescent="0.2">
      <c r="A43" s="90" t="s">
        <v>156</v>
      </c>
      <c r="B43">
        <f>(B42/E43)*100</f>
        <v>74.166666666666671</v>
      </c>
      <c r="C43">
        <f>(C42/E43)*100</f>
        <v>23.333333333333332</v>
      </c>
      <c r="D43">
        <f>(D42/E43)*100</f>
        <v>2.5</v>
      </c>
      <c r="E43">
        <f>(B42+C42+D42)</f>
        <v>120</v>
      </c>
      <c r="G43" s="14" t="s">
        <v>156</v>
      </c>
      <c r="H43">
        <f>(H42/K43)*100</f>
        <v>13.583815028901732</v>
      </c>
      <c r="I43">
        <f>(I42/K43)*100</f>
        <v>65.028901734104039</v>
      </c>
      <c r="J43">
        <f>(J42/K43)*100</f>
        <v>21.387283236994222</v>
      </c>
      <c r="K43">
        <f>(H42+I42+J42)</f>
        <v>115.33333333333334</v>
      </c>
      <c r="M43" t="s">
        <v>110</v>
      </c>
      <c r="N43">
        <v>7.5652989503941228</v>
      </c>
      <c r="O43">
        <v>1</v>
      </c>
      <c r="P43">
        <v>7.5652989503941228</v>
      </c>
      <c r="Q43">
        <v>0.32269041989911457</v>
      </c>
      <c r="R43">
        <v>0.60036478206008104</v>
      </c>
      <c r="S43">
        <v>7.708647422176786</v>
      </c>
    </row>
    <row r="44" spans="1:19" x14ac:dyDescent="0.2">
      <c r="A44" s="14" t="s">
        <v>63</v>
      </c>
      <c r="B44">
        <f>STDEVA(B4,B17,B30)</f>
        <v>8.0034969507544709</v>
      </c>
      <c r="C44">
        <f>STDEVA(C4,C17,C30)</f>
        <v>8.3708796861550159</v>
      </c>
      <c r="D44">
        <f>STDEVA(D4,D17,D30)</f>
        <v>0.47535421426280494</v>
      </c>
      <c r="G44" s="14" t="s">
        <v>63</v>
      </c>
      <c r="H44">
        <f>STDEVA(H4,H17,H30)</f>
        <v>3.1742725395911222</v>
      </c>
      <c r="I44">
        <f>STDEVA(I4,I17,I30)</f>
        <v>4.7322305522437951</v>
      </c>
      <c r="J44">
        <f>STDEVA(J4,J17,J30)</f>
        <v>7.3229288463920126</v>
      </c>
      <c r="M44" t="s">
        <v>111</v>
      </c>
      <c r="N44">
        <v>93.777794243279061</v>
      </c>
      <c r="O44">
        <v>4</v>
      </c>
      <c r="P44">
        <v>23.444448560819765</v>
      </c>
    </row>
    <row r="45" spans="1:19" x14ac:dyDescent="0.2">
      <c r="A45" s="14" t="s">
        <v>59</v>
      </c>
      <c r="B45">
        <f>(B44/SQRT(3))</f>
        <v>4.6208211189764432</v>
      </c>
      <c r="C45">
        <f t="shared" ref="C45:D45" si="0">(C44/SQRT(3))</f>
        <v>4.8329296401555686</v>
      </c>
      <c r="D45">
        <f t="shared" si="0"/>
        <v>0.27444588356505351</v>
      </c>
      <c r="G45" s="14" t="s">
        <v>59</v>
      </c>
      <c r="H45">
        <f>H44/SQRT(3)</f>
        <v>1.8326671052141714</v>
      </c>
      <c r="I45">
        <f t="shared" ref="I45:J45" si="1">I44/SQRT(3)</f>
        <v>2.7321545832053267</v>
      </c>
      <c r="J45">
        <f t="shared" si="1"/>
        <v>4.2278949407209048</v>
      </c>
    </row>
    <row r="46" spans="1:19" ht="16" thickBot="1" x14ac:dyDescent="0.25">
      <c r="M46" s="4" t="s">
        <v>55</v>
      </c>
      <c r="N46" s="4">
        <v>101.34309319367318</v>
      </c>
      <c r="O46" s="4">
        <v>5</v>
      </c>
      <c r="P46" s="4"/>
      <c r="Q46" s="4"/>
      <c r="R46" s="4"/>
      <c r="S46" s="4"/>
    </row>
    <row r="47" spans="1:19" x14ac:dyDescent="0.2">
      <c r="A47" s="86" t="s">
        <v>28</v>
      </c>
      <c r="B47" t="s">
        <v>161</v>
      </c>
      <c r="C47" t="s">
        <v>241</v>
      </c>
      <c r="D47" t="s">
        <v>242</v>
      </c>
      <c r="G47" s="88" t="s">
        <v>28</v>
      </c>
      <c r="H47" t="s">
        <v>161</v>
      </c>
      <c r="I47" t="s">
        <v>241</v>
      </c>
      <c r="J47" t="s">
        <v>242</v>
      </c>
    </row>
    <row r="48" spans="1:19" x14ac:dyDescent="0.2">
      <c r="A48" s="7"/>
      <c r="B48">
        <f>AVERAGE(B20,B7,B33)</f>
        <v>96.333333333333329</v>
      </c>
      <c r="C48">
        <f>AVERAGE(C20,C7,C33)</f>
        <v>28</v>
      </c>
      <c r="D48">
        <f>AVERAGE(D20,D7,D33)</f>
        <v>2.6666666666666665</v>
      </c>
      <c r="E48" t="s">
        <v>55</v>
      </c>
      <c r="H48">
        <f>AVERAGE(H7,H20,H33)</f>
        <v>50.333333333333336</v>
      </c>
      <c r="I48">
        <f>AVERAGE(I7,I20,I33)</f>
        <v>60.666666666666664</v>
      </c>
      <c r="J48">
        <f>AVERAGE(J7,J20,J33)</f>
        <v>12</v>
      </c>
      <c r="K48" t="s">
        <v>55</v>
      </c>
    </row>
    <row r="49" spans="1:11" x14ac:dyDescent="0.2">
      <c r="A49" s="90" t="s">
        <v>156</v>
      </c>
      <c r="B49">
        <f>(B48/E49)*100</f>
        <v>75.853018372703403</v>
      </c>
      <c r="C49">
        <f>(C48/E49)*100</f>
        <v>22.047244094488189</v>
      </c>
      <c r="D49">
        <f>(D48/E49)*100</f>
        <v>2.0997375328083989</v>
      </c>
      <c r="E49">
        <f>(B48+C48+D48)</f>
        <v>127</v>
      </c>
      <c r="G49" s="14" t="s">
        <v>156</v>
      </c>
      <c r="H49">
        <f>(H48/K49)*100</f>
        <v>40.921409214092144</v>
      </c>
      <c r="I49">
        <f>(I48/K49)*100</f>
        <v>49.322493224932245</v>
      </c>
      <c r="J49">
        <f>(J48/K49)*100</f>
        <v>9.7560975609756095</v>
      </c>
      <c r="K49">
        <f>AVERAGE(K7,K20,K33)</f>
        <v>123</v>
      </c>
    </row>
    <row r="50" spans="1:11" x14ac:dyDescent="0.2">
      <c r="A50" s="14" t="s">
        <v>63</v>
      </c>
      <c r="B50">
        <f>STDEVA(B8,B21,B34)</f>
        <v>10.783916079763495</v>
      </c>
      <c r="C50">
        <f>STDEVA(C8,C21,C34)</f>
        <v>9.6933650046300261</v>
      </c>
      <c r="D50">
        <f>STDEVA(D8,D21,D34)</f>
        <v>2.1185130413076343</v>
      </c>
      <c r="G50" s="14" t="s">
        <v>63</v>
      </c>
      <c r="H50">
        <f>STDEVA(H8,H21,H34)</f>
        <v>3.9123996640733707</v>
      </c>
      <c r="I50">
        <f>STDEVA(I8,I21,I34)</f>
        <v>5.0210634479787659</v>
      </c>
      <c r="J50">
        <f>STDEVA(J8,J21,J34)</f>
        <v>8.8668492852226173</v>
      </c>
    </row>
    <row r="51" spans="1:11" x14ac:dyDescent="0.2">
      <c r="A51" s="14" t="s">
        <v>59</v>
      </c>
      <c r="B51">
        <f>(B50/SQRT(3))</f>
        <v>6.2260968515697881</v>
      </c>
      <c r="C51">
        <f t="shared" ref="C51:D51" si="2">(C50/SQRT(3))</f>
        <v>5.5964668947764435</v>
      </c>
      <c r="D51">
        <f t="shared" si="2"/>
        <v>1.2231240746806955</v>
      </c>
      <c r="G51" s="14" t="s">
        <v>59</v>
      </c>
      <c r="H51">
        <f>H50/SQRT(3)</f>
        <v>2.2588249992301623</v>
      </c>
      <c r="I51">
        <f t="shared" ref="I51:J51" si="3">I50/SQRT(3)</f>
        <v>2.898912333308731</v>
      </c>
      <c r="J51">
        <f t="shared" si="3"/>
        <v>5.1192778216871195</v>
      </c>
    </row>
    <row r="53" spans="1:11" x14ac:dyDescent="0.2">
      <c r="A53" s="87" t="s">
        <v>30</v>
      </c>
      <c r="B53" t="s">
        <v>161</v>
      </c>
      <c r="C53" t="s">
        <v>241</v>
      </c>
      <c r="D53" t="s">
        <v>242</v>
      </c>
      <c r="G53" s="89" t="s">
        <v>30</v>
      </c>
      <c r="H53" t="s">
        <v>161</v>
      </c>
      <c r="I53" t="s">
        <v>241</v>
      </c>
      <c r="J53" t="s">
        <v>242</v>
      </c>
    </row>
    <row r="54" spans="1:11" x14ac:dyDescent="0.2">
      <c r="A54" s="7"/>
      <c r="B54">
        <f>AVERAGE(B24,B11,B37)</f>
        <v>70</v>
      </c>
      <c r="C54">
        <f>AVERAGE(C24,C11,C37)</f>
        <v>83</v>
      </c>
      <c r="D54">
        <f>AVERAGE(D24,D11,D37)</f>
        <v>5.666666666666667</v>
      </c>
      <c r="E54" t="s">
        <v>55</v>
      </c>
      <c r="H54">
        <f>AVERAGE(H11,H24,H37)</f>
        <v>64.666666666666671</v>
      </c>
      <c r="I54">
        <f>AVERAGE(I11,I24,I37)</f>
        <v>83</v>
      </c>
      <c r="J54">
        <f>AVERAGE(J11,J24,J37)</f>
        <v>7.333333333333333</v>
      </c>
      <c r="K54" t="s">
        <v>55</v>
      </c>
    </row>
    <row r="55" spans="1:11" x14ac:dyDescent="0.2">
      <c r="A55" s="90" t="s">
        <v>156</v>
      </c>
      <c r="B55">
        <f>(B54/E55)*100</f>
        <v>44.117647058823536</v>
      </c>
      <c r="C55">
        <f>(C54/E55)*100</f>
        <v>52.310924369747902</v>
      </c>
      <c r="D55">
        <f>(D54/E55)*100</f>
        <v>3.5714285714285721</v>
      </c>
      <c r="E55" s="73">
        <f>(B54+C54+D54)</f>
        <v>158.66666666666666</v>
      </c>
      <c r="G55" s="14" t="s">
        <v>156</v>
      </c>
      <c r="H55">
        <f>(H54/K55)*100</f>
        <v>41.72043010752688</v>
      </c>
      <c r="I55">
        <f>(I54/K55)*100</f>
        <v>53.548387096774185</v>
      </c>
      <c r="J55">
        <f>(J54/K55)*100</f>
        <v>4.7311827956989241</v>
      </c>
      <c r="K55">
        <f>(H54+I54+J54)</f>
        <v>155.00000000000003</v>
      </c>
    </row>
    <row r="56" spans="1:11" x14ac:dyDescent="0.2">
      <c r="A56" s="14" t="s">
        <v>63</v>
      </c>
      <c r="B56">
        <f>STDEVA(B12,B25,B38)</f>
        <v>4.9773997965132235</v>
      </c>
      <c r="C56">
        <f>STDEVA(C12,C25,C38)</f>
        <v>2.3561695448301201</v>
      </c>
      <c r="D56">
        <f>STDEVA(D12,D25,D38)</f>
        <v>3.9812310928341321</v>
      </c>
      <c r="G56" s="14" t="s">
        <v>63</v>
      </c>
      <c r="H56">
        <f>STDEVA(H12,H25,H38)</f>
        <v>4.702593793568572</v>
      </c>
      <c r="I56">
        <f>STDEVA(I12,I25,I38)</f>
        <v>7.2305309613743098</v>
      </c>
      <c r="J56">
        <f>STDEVA(J12,J25,J38)</f>
        <v>2.6983375420916516</v>
      </c>
    </row>
    <row r="57" spans="1:11" x14ac:dyDescent="0.2">
      <c r="A57" s="14" t="s">
        <v>59</v>
      </c>
      <c r="B57">
        <f>(B56/SQRT(3))</f>
        <v>2.8737031123812984</v>
      </c>
      <c r="C57">
        <f t="shared" ref="C57:D57" si="4">(C56/SQRT(3))</f>
        <v>1.3603351209640679</v>
      </c>
      <c r="D57">
        <f t="shared" si="4"/>
        <v>2.2985648431538941</v>
      </c>
      <c r="G57" s="14" t="s">
        <v>59</v>
      </c>
      <c r="H57">
        <f>H56/SQRT(3)</f>
        <v>2.7150437926062785</v>
      </c>
      <c r="I57">
        <f>I56/SQRT(3)</f>
        <v>4.1745489969333818</v>
      </c>
      <c r="J57">
        <f>J56/SQRT(3)</f>
        <v>1.5578859062910884</v>
      </c>
    </row>
  </sheetData>
  <mergeCells count="13">
    <mergeCell ref="S1:T1"/>
    <mergeCell ref="S2:T2"/>
    <mergeCell ref="B40:E40"/>
    <mergeCell ref="H1:K1"/>
    <mergeCell ref="H40:K40"/>
    <mergeCell ref="H27:K27"/>
    <mergeCell ref="H14:K14"/>
    <mergeCell ref="O1:P1"/>
    <mergeCell ref="O17:P17"/>
    <mergeCell ref="O33:P33"/>
    <mergeCell ref="B1:E1"/>
    <mergeCell ref="B14:E14"/>
    <mergeCell ref="B27:E2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BC1C-7A95-F94A-A4D9-48D5C7D129FD}">
  <sheetPr>
    <tabColor rgb="FF00B050"/>
  </sheetPr>
  <dimension ref="A1:Y109"/>
  <sheetViews>
    <sheetView topLeftCell="G30" zoomScaleNormal="100" workbookViewId="0">
      <selection activeCell="Z51" sqref="Z51"/>
    </sheetView>
  </sheetViews>
  <sheetFormatPr baseColWidth="10" defaultRowHeight="15" x14ac:dyDescent="0.2"/>
  <cols>
    <col min="5" max="5" width="7.83203125" customWidth="1"/>
    <col min="6" max="6" width="10.6640625" customWidth="1"/>
    <col min="11" max="11" width="8.5" customWidth="1"/>
    <col min="12" max="12" width="10.5" customWidth="1"/>
    <col min="17" max="17" width="10.83203125" customWidth="1"/>
    <col min="18" max="18" width="13.5" bestFit="1" customWidth="1"/>
    <col min="21" max="21" width="8" customWidth="1"/>
    <col min="22" max="22" width="12.83203125" bestFit="1" customWidth="1"/>
    <col min="23" max="23" width="12" bestFit="1" customWidth="1"/>
    <col min="24" max="24" width="13.1640625" customWidth="1"/>
    <col min="26" max="26" width="13.5" bestFit="1" customWidth="1"/>
  </cols>
  <sheetData>
    <row r="1" spans="1:23" x14ac:dyDescent="0.2">
      <c r="A1" s="135" t="s">
        <v>291</v>
      </c>
      <c r="B1" s="135"/>
      <c r="C1" s="135"/>
      <c r="D1" s="135"/>
      <c r="E1" s="135"/>
      <c r="G1" s="135" t="s">
        <v>292</v>
      </c>
      <c r="H1" s="135"/>
      <c r="I1" s="135"/>
      <c r="J1" s="135"/>
      <c r="K1" s="135"/>
      <c r="M1" s="135" t="s">
        <v>293</v>
      </c>
      <c r="N1" s="135"/>
      <c r="O1" s="135"/>
      <c r="P1" s="135"/>
      <c r="Q1" s="135"/>
      <c r="S1" s="169" t="s">
        <v>294</v>
      </c>
      <c r="T1" s="170"/>
      <c r="U1" s="92"/>
      <c r="V1" s="84"/>
      <c r="W1" s="6"/>
    </row>
    <row r="2" spans="1:23" x14ac:dyDescent="0.2">
      <c r="A2" s="12" t="s">
        <v>29</v>
      </c>
      <c r="B2" t="s">
        <v>161</v>
      </c>
      <c r="C2" t="s">
        <v>241</v>
      </c>
      <c r="D2" t="s">
        <v>242</v>
      </c>
      <c r="E2" t="s">
        <v>55</v>
      </c>
      <c r="G2" s="12" t="s">
        <v>29</v>
      </c>
      <c r="H2" s="17" t="s">
        <v>161</v>
      </c>
      <c r="I2" s="17" t="s">
        <v>241</v>
      </c>
      <c r="J2" s="17" t="s">
        <v>242</v>
      </c>
      <c r="K2" s="17" t="s">
        <v>55</v>
      </c>
      <c r="M2" s="12" t="s">
        <v>29</v>
      </c>
      <c r="N2" s="17" t="s">
        <v>161</v>
      </c>
      <c r="O2" s="17" t="s">
        <v>241</v>
      </c>
      <c r="P2" s="17" t="s">
        <v>242</v>
      </c>
      <c r="Q2" s="17" t="s">
        <v>55</v>
      </c>
      <c r="S2" s="85" t="s">
        <v>29</v>
      </c>
      <c r="T2" s="17" t="s">
        <v>161</v>
      </c>
      <c r="V2" s="14" t="s">
        <v>295</v>
      </c>
      <c r="W2" s="8" t="s">
        <v>161</v>
      </c>
    </row>
    <row r="3" spans="1:23" x14ac:dyDescent="0.2">
      <c r="B3">
        <v>39</v>
      </c>
      <c r="C3">
        <v>127</v>
      </c>
      <c r="D3">
        <v>19</v>
      </c>
      <c r="E3">
        <f>(B3+C3+D3)</f>
        <v>185</v>
      </c>
      <c r="H3">
        <v>27</v>
      </c>
      <c r="I3">
        <v>91</v>
      </c>
      <c r="J3">
        <v>12</v>
      </c>
      <c r="K3">
        <f>(H3+I3+J3)</f>
        <v>130</v>
      </c>
      <c r="N3">
        <v>31</v>
      </c>
      <c r="O3">
        <v>103</v>
      </c>
      <c r="P3">
        <v>3</v>
      </c>
      <c r="Q3">
        <f>(N3+O3+P3)</f>
        <v>137</v>
      </c>
      <c r="S3" s="7"/>
      <c r="T3">
        <f>AVERAGE(B3,H3,N3)</f>
        <v>32.333333333333336</v>
      </c>
      <c r="V3" s="14" t="s">
        <v>63</v>
      </c>
      <c r="W3" s="8">
        <f>STDEVA(N4,H4,B4)</f>
        <v>0.99527568202303451</v>
      </c>
    </row>
    <row r="4" spans="1:23" x14ac:dyDescent="0.2">
      <c r="A4" t="s">
        <v>156</v>
      </c>
      <c r="B4">
        <f>(B3/E3)*100</f>
        <v>21.081081081081081</v>
      </c>
      <c r="C4">
        <f>(C3/E3)*100</f>
        <v>68.648648648648646</v>
      </c>
      <c r="D4">
        <f>(D3/E3)*100</f>
        <v>10.27027027027027</v>
      </c>
      <c r="G4" t="s">
        <v>156</v>
      </c>
      <c r="H4">
        <f>(H3/K3)*100</f>
        <v>20.76923076923077</v>
      </c>
      <c r="I4">
        <f>(I3/K3)*100</f>
        <v>70</v>
      </c>
      <c r="J4">
        <f>(J3/K3)*100</f>
        <v>9.2307692307692317</v>
      </c>
      <c r="M4" t="s">
        <v>156</v>
      </c>
      <c r="N4">
        <f>(N3/Q3)*100</f>
        <v>22.627737226277372</v>
      </c>
      <c r="O4">
        <f>(O3/Q3)*100</f>
        <v>75.18248175182481</v>
      </c>
      <c r="P4">
        <f>(P3/Q3)*100</f>
        <v>2.1897810218978102</v>
      </c>
      <c r="S4" s="7" t="s">
        <v>156</v>
      </c>
      <c r="T4">
        <f>AVERAGE(B4,H4,N4)</f>
        <v>21.492683025529743</v>
      </c>
      <c r="V4" s="14" t="s">
        <v>59</v>
      </c>
      <c r="W4" s="8">
        <f>(W3/(SQRT(3)))</f>
        <v>0.57462268293388741</v>
      </c>
    </row>
    <row r="5" spans="1:23" x14ac:dyDescent="0.2">
      <c r="A5" s="88" t="s">
        <v>28</v>
      </c>
      <c r="B5" t="s">
        <v>161</v>
      </c>
      <c r="C5" t="s">
        <v>241</v>
      </c>
      <c r="D5" t="s">
        <v>242</v>
      </c>
      <c r="E5" t="s">
        <v>55</v>
      </c>
      <c r="G5" s="88" t="s">
        <v>28</v>
      </c>
      <c r="H5" s="17" t="s">
        <v>161</v>
      </c>
      <c r="I5" s="17" t="s">
        <v>241</v>
      </c>
      <c r="J5" s="17" t="s">
        <v>242</v>
      </c>
      <c r="K5" s="17" t="s">
        <v>55</v>
      </c>
      <c r="M5" s="88" t="s">
        <v>28</v>
      </c>
      <c r="N5" s="17" t="s">
        <v>161</v>
      </c>
      <c r="O5" s="17" t="s">
        <v>241</v>
      </c>
      <c r="P5" s="17" t="s">
        <v>242</v>
      </c>
      <c r="Q5" s="17" t="s">
        <v>55</v>
      </c>
      <c r="S5" s="86" t="s">
        <v>28</v>
      </c>
      <c r="T5" s="17" t="s">
        <v>161</v>
      </c>
      <c r="V5" s="14"/>
      <c r="W5" s="8"/>
    </row>
    <row r="6" spans="1:23" x14ac:dyDescent="0.2">
      <c r="B6">
        <v>84</v>
      </c>
      <c r="C6">
        <v>52</v>
      </c>
      <c r="D6">
        <v>2</v>
      </c>
      <c r="E6">
        <f>(D6+C6+B6)</f>
        <v>138</v>
      </c>
      <c r="H6">
        <v>92</v>
      </c>
      <c r="I6">
        <v>56</v>
      </c>
      <c r="J6">
        <v>2</v>
      </c>
      <c r="K6">
        <f>(J6+I6+H6)</f>
        <v>150</v>
      </c>
      <c r="N6">
        <v>95</v>
      </c>
      <c r="O6">
        <v>43</v>
      </c>
      <c r="P6">
        <v>4</v>
      </c>
      <c r="Q6">
        <f>(N6+O6+P6)</f>
        <v>142</v>
      </c>
      <c r="S6" s="7"/>
      <c r="T6">
        <f>AVERAGE(B6,H6,N6)</f>
        <v>90.333333333333329</v>
      </c>
      <c r="V6" s="14" t="s">
        <v>63</v>
      </c>
      <c r="W6" s="8">
        <f>STDEVA(B7,H7,N7)</f>
        <v>3.3566271307497573</v>
      </c>
    </row>
    <row r="7" spans="1:23" x14ac:dyDescent="0.2">
      <c r="A7" t="s">
        <v>156</v>
      </c>
      <c r="B7">
        <f>(B6/E6)*100</f>
        <v>60.869565217391312</v>
      </c>
      <c r="C7">
        <f>(C6/E6)*100</f>
        <v>37.681159420289859</v>
      </c>
      <c r="D7">
        <f>(D6/E6)*100</f>
        <v>1.4492753623188406</v>
      </c>
      <c r="G7" t="s">
        <v>156</v>
      </c>
      <c r="H7">
        <f>(H6/K6)*100</f>
        <v>61.333333333333329</v>
      </c>
      <c r="I7">
        <f>(I6/K6)*100</f>
        <v>37.333333333333336</v>
      </c>
      <c r="J7">
        <f>(J6/K6)*100</f>
        <v>1.3333333333333335</v>
      </c>
      <c r="M7" t="s">
        <v>156</v>
      </c>
      <c r="N7">
        <f>(N6/Q6)*100</f>
        <v>66.901408450704224</v>
      </c>
      <c r="O7">
        <f>(O6/Q6)*100</f>
        <v>30.281690140845068</v>
      </c>
      <c r="P7">
        <f>(P6/Q6)*100</f>
        <v>2.8169014084507045</v>
      </c>
      <c r="S7" s="7" t="s">
        <v>156</v>
      </c>
      <c r="T7">
        <f>AVERAGE(B7,H7,N7)</f>
        <v>63.034769000476295</v>
      </c>
      <c r="V7" s="14" t="s">
        <v>59</v>
      </c>
      <c r="W7" s="8">
        <f>(W6/(SQRT(3)))</f>
        <v>1.9379495775075737</v>
      </c>
    </row>
    <row r="8" spans="1:23" x14ac:dyDescent="0.2">
      <c r="A8" s="89" t="s">
        <v>30</v>
      </c>
      <c r="B8" t="s">
        <v>161</v>
      </c>
      <c r="C8" t="s">
        <v>241</v>
      </c>
      <c r="D8" t="s">
        <v>242</v>
      </c>
      <c r="E8" t="s">
        <v>55</v>
      </c>
      <c r="G8" s="89" t="s">
        <v>30</v>
      </c>
      <c r="H8" s="17" t="s">
        <v>161</v>
      </c>
      <c r="I8" s="17" t="s">
        <v>241</v>
      </c>
      <c r="J8" s="17" t="s">
        <v>242</v>
      </c>
      <c r="K8" s="17" t="s">
        <v>55</v>
      </c>
      <c r="M8" s="89" t="s">
        <v>30</v>
      </c>
      <c r="N8" s="17" t="s">
        <v>161</v>
      </c>
      <c r="O8" s="17" t="s">
        <v>241</v>
      </c>
      <c r="P8" s="17" t="s">
        <v>242</v>
      </c>
      <c r="Q8" s="17" t="s">
        <v>55</v>
      </c>
      <c r="S8" s="87" t="s">
        <v>30</v>
      </c>
      <c r="T8" s="17" t="s">
        <v>161</v>
      </c>
      <c r="V8" s="14"/>
      <c r="W8" s="8"/>
    </row>
    <row r="9" spans="1:23" x14ac:dyDescent="0.2">
      <c r="B9">
        <v>69</v>
      </c>
      <c r="C9">
        <v>72</v>
      </c>
      <c r="D9">
        <v>0</v>
      </c>
      <c r="E9">
        <f>(D9+C9+B9)</f>
        <v>141</v>
      </c>
      <c r="H9">
        <v>73</v>
      </c>
      <c r="I9">
        <v>69</v>
      </c>
      <c r="J9">
        <v>4</v>
      </c>
      <c r="K9">
        <f>(J9+I9+H9)</f>
        <v>146</v>
      </c>
      <c r="N9">
        <v>94</v>
      </c>
      <c r="O9">
        <v>93</v>
      </c>
      <c r="P9">
        <v>1</v>
      </c>
      <c r="Q9">
        <f>(N9+O9+P9)</f>
        <v>188</v>
      </c>
      <c r="S9" s="7"/>
      <c r="T9">
        <f>AVERAGE(B9,H9,N9)</f>
        <v>78.666666666666671</v>
      </c>
      <c r="V9" s="14" t="s">
        <v>63</v>
      </c>
      <c r="W9" s="8">
        <f>STDEVA(B10,H10,N10)</f>
        <v>0.61420241403151621</v>
      </c>
    </row>
    <row r="10" spans="1:23" x14ac:dyDescent="0.2">
      <c r="A10" t="s">
        <v>156</v>
      </c>
      <c r="B10">
        <f>(B9/E9)*100</f>
        <v>48.936170212765958</v>
      </c>
      <c r="C10">
        <f>(C9/E9)*100</f>
        <v>51.063829787234042</v>
      </c>
      <c r="D10">
        <f>(D9/E9)*100</f>
        <v>0</v>
      </c>
      <c r="G10" t="s">
        <v>156</v>
      </c>
      <c r="H10">
        <f>(H9/K9)*100</f>
        <v>50</v>
      </c>
      <c r="I10">
        <f>(I9/K9)*100</f>
        <v>47.260273972602739</v>
      </c>
      <c r="J10">
        <f>(J9/K9)*100</f>
        <v>2.7397260273972601</v>
      </c>
      <c r="M10" t="s">
        <v>156</v>
      </c>
      <c r="N10">
        <f>(N9/Q9)*100</f>
        <v>50</v>
      </c>
      <c r="O10">
        <f>(O9/Q9)*100</f>
        <v>49.468085106382979</v>
      </c>
      <c r="P10">
        <f>(P9/Q9)*100</f>
        <v>0.53191489361702127</v>
      </c>
      <c r="S10" s="7" t="s">
        <v>156</v>
      </c>
      <c r="T10">
        <f>AVERAGE(B10,H10,N10)</f>
        <v>49.645390070921984</v>
      </c>
      <c r="V10" s="14" t="s">
        <v>59</v>
      </c>
      <c r="W10" s="8">
        <f>(W9/(SQRT(3)))</f>
        <v>0.35460992907801386</v>
      </c>
    </row>
    <row r="11" spans="1:23" x14ac:dyDescent="0.2">
      <c r="S11" s="7"/>
      <c r="V11" s="14"/>
      <c r="W11" s="8"/>
    </row>
    <row r="12" spans="1:23" x14ac:dyDescent="0.2">
      <c r="A12" s="135" t="s">
        <v>411</v>
      </c>
      <c r="B12" s="135"/>
      <c r="C12" s="135"/>
      <c r="D12" s="135"/>
      <c r="E12" s="135"/>
      <c r="G12" s="135" t="s">
        <v>412</v>
      </c>
      <c r="H12" s="135"/>
      <c r="I12" s="135"/>
      <c r="J12" s="135"/>
      <c r="K12" s="135"/>
      <c r="M12" s="135" t="s">
        <v>413</v>
      </c>
      <c r="N12" s="135"/>
      <c r="O12" s="135"/>
      <c r="P12" s="135"/>
      <c r="Q12" s="135"/>
      <c r="S12" s="171" t="s">
        <v>414</v>
      </c>
      <c r="T12" s="172"/>
      <c r="U12" s="91"/>
      <c r="V12" s="14"/>
      <c r="W12" s="8"/>
    </row>
    <row r="13" spans="1:23" x14ac:dyDescent="0.2">
      <c r="A13" s="12" t="s">
        <v>29</v>
      </c>
      <c r="B13" t="s">
        <v>161</v>
      </c>
      <c r="C13" t="s">
        <v>241</v>
      </c>
      <c r="D13" t="s">
        <v>242</v>
      </c>
      <c r="E13" t="s">
        <v>55</v>
      </c>
      <c r="G13" s="12" t="s">
        <v>29</v>
      </c>
      <c r="H13" s="17" t="s">
        <v>161</v>
      </c>
      <c r="I13" s="17" t="s">
        <v>241</v>
      </c>
      <c r="J13" s="17" t="s">
        <v>242</v>
      </c>
      <c r="K13" s="17" t="s">
        <v>55</v>
      </c>
      <c r="M13" s="12" t="s">
        <v>29</v>
      </c>
      <c r="N13" s="17" t="s">
        <v>161</v>
      </c>
      <c r="O13" s="17" t="s">
        <v>241</v>
      </c>
      <c r="P13" s="17" t="s">
        <v>242</v>
      </c>
      <c r="Q13" s="17" t="s">
        <v>55</v>
      </c>
      <c r="S13" s="85" t="s">
        <v>29</v>
      </c>
      <c r="T13" s="17" t="s">
        <v>161</v>
      </c>
      <c r="V13" s="14" t="s">
        <v>296</v>
      </c>
      <c r="W13" s="8" t="s">
        <v>161</v>
      </c>
    </row>
    <row r="14" spans="1:23" x14ac:dyDescent="0.2">
      <c r="B14">
        <v>88</v>
      </c>
      <c r="C14">
        <v>63</v>
      </c>
      <c r="D14">
        <v>6</v>
      </c>
      <c r="E14">
        <f>(B14+C14+D14)</f>
        <v>157</v>
      </c>
      <c r="H14">
        <v>84</v>
      </c>
      <c r="I14">
        <v>54</v>
      </c>
      <c r="J14">
        <v>9</v>
      </c>
      <c r="K14">
        <f>(H14+I14+J14)</f>
        <v>147</v>
      </c>
      <c r="N14">
        <v>84</v>
      </c>
      <c r="O14">
        <v>36</v>
      </c>
      <c r="P14">
        <v>2</v>
      </c>
      <c r="Q14">
        <f>(N14+O14+P14)</f>
        <v>122</v>
      </c>
      <c r="S14" s="7"/>
      <c r="T14">
        <f>AVERAGE(B14,H14,N14)</f>
        <v>85.333333333333329</v>
      </c>
      <c r="V14" s="14" t="s">
        <v>63</v>
      </c>
      <c r="W14" s="8">
        <f>STDEVA(N15,H15,B15)</f>
        <v>7.0967776714029887</v>
      </c>
    </row>
    <row r="15" spans="1:23" x14ac:dyDescent="0.2">
      <c r="A15" t="s">
        <v>156</v>
      </c>
      <c r="B15">
        <f>(B14/E14)*100</f>
        <v>56.050955414012741</v>
      </c>
      <c r="C15">
        <f>(C14/E14)*100</f>
        <v>40.127388535031848</v>
      </c>
      <c r="D15">
        <f>(D14/E14)*100</f>
        <v>3.8216560509554141</v>
      </c>
      <c r="G15" t="s">
        <v>156</v>
      </c>
      <c r="H15">
        <f>(H14/K14)*100</f>
        <v>57.142857142857139</v>
      </c>
      <c r="I15">
        <f>(I14/K14)*100</f>
        <v>36.734693877551024</v>
      </c>
      <c r="J15">
        <f>(J14/K14)*100</f>
        <v>6.1224489795918364</v>
      </c>
      <c r="M15" t="s">
        <v>156</v>
      </c>
      <c r="N15">
        <f>(N14/Q14)*100</f>
        <v>68.852459016393439</v>
      </c>
      <c r="O15">
        <f>(O14/Q14)*100</f>
        <v>29.508196721311474</v>
      </c>
      <c r="P15">
        <f>(P14/Q14)*100</f>
        <v>1.639344262295082</v>
      </c>
      <c r="S15" s="7" t="s">
        <v>156</v>
      </c>
      <c r="T15">
        <f>AVERAGE(B15,H15,N15)</f>
        <v>60.682090524421106</v>
      </c>
      <c r="V15" s="14" t="s">
        <v>59</v>
      </c>
      <c r="W15" s="8">
        <f>(W14/(SQRT(3)))</f>
        <v>4.097326498963441</v>
      </c>
    </row>
    <row r="16" spans="1:23" x14ac:dyDescent="0.2">
      <c r="A16" s="88" t="s">
        <v>28</v>
      </c>
      <c r="B16" t="s">
        <v>161</v>
      </c>
      <c r="C16" t="s">
        <v>241</v>
      </c>
      <c r="D16" t="s">
        <v>242</v>
      </c>
      <c r="E16" t="s">
        <v>55</v>
      </c>
      <c r="G16" s="88" t="s">
        <v>28</v>
      </c>
      <c r="H16" s="17" t="s">
        <v>161</v>
      </c>
      <c r="I16" s="17" t="s">
        <v>241</v>
      </c>
      <c r="J16" s="17" t="s">
        <v>242</v>
      </c>
      <c r="K16" s="17" t="s">
        <v>55</v>
      </c>
      <c r="M16" s="88" t="s">
        <v>28</v>
      </c>
      <c r="N16" s="17" t="s">
        <v>161</v>
      </c>
      <c r="O16" s="17" t="s">
        <v>241</v>
      </c>
      <c r="P16" s="17" t="s">
        <v>242</v>
      </c>
      <c r="Q16" s="17" t="s">
        <v>55</v>
      </c>
      <c r="S16" s="86" t="s">
        <v>28</v>
      </c>
      <c r="T16" s="17" t="s">
        <v>161</v>
      </c>
      <c r="V16" s="14"/>
      <c r="W16" s="8"/>
    </row>
    <row r="17" spans="1:23" x14ac:dyDescent="0.2">
      <c r="B17">
        <v>82</v>
      </c>
      <c r="C17">
        <v>32</v>
      </c>
      <c r="D17">
        <v>2</v>
      </c>
      <c r="E17">
        <f>(D17+C17+B17)</f>
        <v>116</v>
      </c>
      <c r="H17">
        <v>94</v>
      </c>
      <c r="I17">
        <v>22</v>
      </c>
      <c r="J17">
        <v>1</v>
      </c>
      <c r="K17">
        <f>(J17+I17+H17)</f>
        <v>117</v>
      </c>
      <c r="N17">
        <v>113</v>
      </c>
      <c r="O17">
        <v>24</v>
      </c>
      <c r="P17">
        <v>2</v>
      </c>
      <c r="Q17">
        <f>(P17+O17+N17)</f>
        <v>139</v>
      </c>
      <c r="S17" s="7"/>
      <c r="T17">
        <f>AVERAGE(B17,H17,N17)</f>
        <v>96.333333333333329</v>
      </c>
      <c r="V17" s="14" t="s">
        <v>63</v>
      </c>
      <c r="W17" s="8">
        <f>STDEVA(B18,H18,N18)</f>
        <v>5.8672309649323733</v>
      </c>
    </row>
    <row r="18" spans="1:23" x14ac:dyDescent="0.2">
      <c r="A18" t="s">
        <v>156</v>
      </c>
      <c r="B18">
        <f>(B17/E17)*100</f>
        <v>70.689655172413794</v>
      </c>
      <c r="C18">
        <f>(C17/E17)*100</f>
        <v>27.586206896551722</v>
      </c>
      <c r="D18">
        <f>(D17/E17)*100</f>
        <v>1.7241379310344827</v>
      </c>
      <c r="G18" t="s">
        <v>156</v>
      </c>
      <c r="H18">
        <f>(H17/K17)*100</f>
        <v>80.341880341880341</v>
      </c>
      <c r="I18">
        <f>(I17/K17)*100</f>
        <v>18.803418803418804</v>
      </c>
      <c r="J18">
        <f>(J17/K17)*100</f>
        <v>0.85470085470085477</v>
      </c>
      <c r="M18" t="s">
        <v>156</v>
      </c>
      <c r="N18">
        <f>(N17/Q17)*100</f>
        <v>81.294964028776988</v>
      </c>
      <c r="O18">
        <f>(O17/Q17)*100</f>
        <v>17.266187050359711</v>
      </c>
      <c r="P18">
        <f>(P17/Q17)*100</f>
        <v>1.4388489208633095</v>
      </c>
      <c r="S18" s="7" t="s">
        <v>156</v>
      </c>
      <c r="T18">
        <f>AVERAGE(B18,H18,N18)</f>
        <v>77.442166514357041</v>
      </c>
      <c r="V18" s="14" t="s">
        <v>59</v>
      </c>
      <c r="W18" s="8">
        <f>(W17/(SQRT(3)))</f>
        <v>3.3874473770014135</v>
      </c>
    </row>
    <row r="19" spans="1:23" x14ac:dyDescent="0.2">
      <c r="A19" s="89" t="s">
        <v>30</v>
      </c>
      <c r="B19" t="s">
        <v>161</v>
      </c>
      <c r="C19" t="s">
        <v>241</v>
      </c>
      <c r="D19" t="s">
        <v>242</v>
      </c>
      <c r="E19" t="s">
        <v>55</v>
      </c>
      <c r="G19" s="89" t="s">
        <v>30</v>
      </c>
      <c r="H19" s="17" t="s">
        <v>161</v>
      </c>
      <c r="I19" s="17" t="s">
        <v>241</v>
      </c>
      <c r="J19" s="17" t="s">
        <v>242</v>
      </c>
      <c r="K19" s="17" t="s">
        <v>55</v>
      </c>
      <c r="M19" s="89" t="s">
        <v>30</v>
      </c>
      <c r="N19" s="17" t="s">
        <v>161</v>
      </c>
      <c r="O19" s="17" t="s">
        <v>241</v>
      </c>
      <c r="P19" s="17" t="s">
        <v>242</v>
      </c>
      <c r="Q19" s="17" t="s">
        <v>55</v>
      </c>
      <c r="S19" s="87" t="s">
        <v>30</v>
      </c>
      <c r="T19" s="17" t="s">
        <v>161</v>
      </c>
      <c r="V19" s="14"/>
      <c r="W19" s="8"/>
    </row>
    <row r="20" spans="1:23" x14ac:dyDescent="0.2">
      <c r="B20">
        <v>54</v>
      </c>
      <c r="C20">
        <v>61</v>
      </c>
      <c r="D20">
        <v>7</v>
      </c>
      <c r="E20">
        <f>(D20+C20+B20)</f>
        <v>122</v>
      </c>
      <c r="H20">
        <v>84</v>
      </c>
      <c r="I20">
        <v>79</v>
      </c>
      <c r="J20">
        <v>5</v>
      </c>
      <c r="K20">
        <f>(P20+O20+N20)</f>
        <v>140</v>
      </c>
      <c r="N20">
        <v>65</v>
      </c>
      <c r="O20">
        <v>73</v>
      </c>
      <c r="P20">
        <v>2</v>
      </c>
      <c r="Q20">
        <f>(P20+O20+N20)</f>
        <v>140</v>
      </c>
      <c r="S20" s="7"/>
      <c r="T20">
        <f>AVERAGE(B20,H20,N20)</f>
        <v>67.666666666666671</v>
      </c>
      <c r="V20" s="14" t="s">
        <v>63</v>
      </c>
      <c r="W20" s="8">
        <f>STDEVA(B21,H21,N21)</f>
        <v>8.5298669661990392</v>
      </c>
    </row>
    <row r="21" spans="1:23" x14ac:dyDescent="0.2">
      <c r="A21" t="s">
        <v>156</v>
      </c>
      <c r="B21">
        <f>(B20/E20)*100</f>
        <v>44.26229508196721</v>
      </c>
      <c r="C21">
        <f>(C20/E20)*100</f>
        <v>50</v>
      </c>
      <c r="D21">
        <f>(D20/E20)*100</f>
        <v>5.7377049180327866</v>
      </c>
      <c r="G21" t="s">
        <v>156</v>
      </c>
      <c r="H21">
        <f>(H20/K20)*100</f>
        <v>60</v>
      </c>
      <c r="I21">
        <f>(O20/K20)*100</f>
        <v>52.142857142857146</v>
      </c>
      <c r="J21">
        <f>(P20/K20)*100</f>
        <v>1.4285714285714286</v>
      </c>
      <c r="M21" t="s">
        <v>156</v>
      </c>
      <c r="N21">
        <f>(N20/Q20)*100</f>
        <v>46.428571428571431</v>
      </c>
      <c r="O21">
        <f>(O20/Q20)*100</f>
        <v>52.142857142857146</v>
      </c>
      <c r="P21">
        <f>(P20/Q20)*100</f>
        <v>1.4285714285714286</v>
      </c>
      <c r="S21" s="7" t="s">
        <v>156</v>
      </c>
      <c r="T21">
        <f>AVERAGE(B21,H21,N21)</f>
        <v>50.230288836846206</v>
      </c>
      <c r="V21" s="14" t="s">
        <v>59</v>
      </c>
      <c r="W21" s="8">
        <f>(W20/(SQRT(3)))</f>
        <v>4.9247209890867119</v>
      </c>
    </row>
    <row r="22" spans="1:23" x14ac:dyDescent="0.2">
      <c r="S22" s="7"/>
      <c r="V22" s="14"/>
      <c r="W22" s="8"/>
    </row>
    <row r="23" spans="1:23" x14ac:dyDescent="0.2">
      <c r="A23" s="135" t="s">
        <v>302</v>
      </c>
      <c r="B23" s="135"/>
      <c r="C23" s="135"/>
      <c r="D23" s="135"/>
      <c r="E23" s="135"/>
      <c r="G23" s="135" t="s">
        <v>303</v>
      </c>
      <c r="H23" s="135"/>
      <c r="I23" s="135"/>
      <c r="J23" s="135"/>
      <c r="K23" s="135"/>
      <c r="M23" s="135" t="s">
        <v>304</v>
      </c>
      <c r="N23" s="135"/>
      <c r="O23" s="135"/>
      <c r="P23" s="135"/>
      <c r="Q23" s="135"/>
      <c r="S23" s="171" t="s">
        <v>415</v>
      </c>
      <c r="T23" s="172"/>
      <c r="U23" s="91"/>
      <c r="V23" s="14"/>
      <c r="W23" s="8"/>
    </row>
    <row r="24" spans="1:23" x14ac:dyDescent="0.2">
      <c r="A24" s="12" t="s">
        <v>29</v>
      </c>
      <c r="B24" t="s">
        <v>161</v>
      </c>
      <c r="C24" t="s">
        <v>241</v>
      </c>
      <c r="D24" t="s">
        <v>242</v>
      </c>
      <c r="E24" t="s">
        <v>55</v>
      </c>
      <c r="G24" s="12" t="s">
        <v>29</v>
      </c>
      <c r="H24" s="17" t="s">
        <v>161</v>
      </c>
      <c r="I24" s="17" t="s">
        <v>241</v>
      </c>
      <c r="J24" s="17" t="s">
        <v>242</v>
      </c>
      <c r="K24" s="17" t="s">
        <v>55</v>
      </c>
      <c r="M24" s="12" t="s">
        <v>29</v>
      </c>
      <c r="N24" s="17" t="s">
        <v>161</v>
      </c>
      <c r="O24" s="17" t="s">
        <v>241</v>
      </c>
      <c r="P24" s="17" t="s">
        <v>242</v>
      </c>
      <c r="Q24" s="17" t="s">
        <v>55</v>
      </c>
      <c r="S24" s="85" t="s">
        <v>29</v>
      </c>
      <c r="T24" s="17" t="s">
        <v>161</v>
      </c>
      <c r="V24" s="14" t="s">
        <v>297</v>
      </c>
      <c r="W24" s="8" t="s">
        <v>161</v>
      </c>
    </row>
    <row r="25" spans="1:23" x14ac:dyDescent="0.2">
      <c r="B25">
        <v>111</v>
      </c>
      <c r="C25">
        <v>53</v>
      </c>
      <c r="D25">
        <v>14</v>
      </c>
      <c r="E25">
        <f>(B25+C25+D25)</f>
        <v>178</v>
      </c>
      <c r="H25">
        <v>128</v>
      </c>
      <c r="I25">
        <v>46</v>
      </c>
      <c r="J25">
        <v>3</v>
      </c>
      <c r="K25">
        <f>(H25+I25+J25)</f>
        <v>177</v>
      </c>
      <c r="N25">
        <v>78</v>
      </c>
      <c r="O25">
        <v>49</v>
      </c>
      <c r="P25">
        <v>12</v>
      </c>
      <c r="Q25">
        <f>(N25+O25+P25)</f>
        <v>139</v>
      </c>
      <c r="S25" s="7"/>
      <c r="T25">
        <f>AVERAGE(B25,H25,N25)</f>
        <v>105.66666666666667</v>
      </c>
      <c r="V25" s="14" t="s">
        <v>63</v>
      </c>
      <c r="W25" s="8">
        <f>STDEVA(N26,H26,B26)</f>
        <v>8.1712193335886543</v>
      </c>
    </row>
    <row r="26" spans="1:23" x14ac:dyDescent="0.2">
      <c r="A26" t="s">
        <v>156</v>
      </c>
      <c r="B26">
        <f>(B25/E25)*100</f>
        <v>62.359550561797747</v>
      </c>
      <c r="C26">
        <f>(C25/E25)*100</f>
        <v>29.775280898876407</v>
      </c>
      <c r="D26">
        <f>(D25/E25)*100</f>
        <v>7.8651685393258424</v>
      </c>
      <c r="G26" t="s">
        <v>156</v>
      </c>
      <c r="H26">
        <f>(H25/K25)*100</f>
        <v>72.316384180790962</v>
      </c>
      <c r="I26">
        <f>(I25/K25)*100</f>
        <v>25.988700564971751</v>
      </c>
      <c r="J26">
        <f>(J25/K25)*100</f>
        <v>1.6949152542372881</v>
      </c>
      <c r="M26" t="s">
        <v>156</v>
      </c>
      <c r="N26">
        <f>(N25/Q25)*100</f>
        <v>56.115107913669057</v>
      </c>
      <c r="O26">
        <f>(O25/Q25)*100</f>
        <v>35.251798561151077</v>
      </c>
      <c r="P26">
        <f>(P25/Q25)*100</f>
        <v>8.6330935251798557</v>
      </c>
      <c r="S26" s="7" t="s">
        <v>156</v>
      </c>
      <c r="T26">
        <f>AVERAGE(B26,H26,N26)</f>
        <v>63.597014218752584</v>
      </c>
      <c r="V26" s="14" t="s">
        <v>59</v>
      </c>
      <c r="W26" s="8">
        <f>(W25/(SQRT(3)))</f>
        <v>4.7176556818548843</v>
      </c>
    </row>
    <row r="27" spans="1:23" x14ac:dyDescent="0.2">
      <c r="A27" s="88" t="s">
        <v>28</v>
      </c>
      <c r="B27" t="s">
        <v>161</v>
      </c>
      <c r="C27" t="s">
        <v>241</v>
      </c>
      <c r="D27" t="s">
        <v>242</v>
      </c>
      <c r="E27" t="s">
        <v>55</v>
      </c>
      <c r="G27" s="88" t="s">
        <v>28</v>
      </c>
      <c r="H27" t="s">
        <v>161</v>
      </c>
      <c r="I27" t="s">
        <v>241</v>
      </c>
      <c r="J27" t="s">
        <v>242</v>
      </c>
      <c r="K27" t="s">
        <v>55</v>
      </c>
      <c r="M27" s="88" t="s">
        <v>28</v>
      </c>
      <c r="N27" s="17" t="s">
        <v>161</v>
      </c>
      <c r="O27" s="17" t="s">
        <v>241</v>
      </c>
      <c r="P27" s="17" t="s">
        <v>242</v>
      </c>
      <c r="Q27" s="17" t="s">
        <v>55</v>
      </c>
      <c r="S27" s="86" t="s">
        <v>28</v>
      </c>
      <c r="T27" s="17" t="s">
        <v>161</v>
      </c>
      <c r="V27" s="14"/>
      <c r="W27" s="8"/>
    </row>
    <row r="28" spans="1:23" x14ac:dyDescent="0.2">
      <c r="B28">
        <v>75</v>
      </c>
      <c r="C28">
        <v>22</v>
      </c>
      <c r="D28">
        <v>0</v>
      </c>
      <c r="E28">
        <f>(D28+C28+B28)</f>
        <v>97</v>
      </c>
      <c r="H28">
        <v>98</v>
      </c>
      <c r="I28">
        <v>50</v>
      </c>
      <c r="J28">
        <v>2</v>
      </c>
      <c r="K28">
        <f>(J28+I28+H28)</f>
        <v>150</v>
      </c>
      <c r="N28">
        <v>108</v>
      </c>
      <c r="O28">
        <v>31</v>
      </c>
      <c r="P28">
        <v>0</v>
      </c>
      <c r="Q28">
        <f>(P28+O28+N28)</f>
        <v>139</v>
      </c>
      <c r="S28" s="7"/>
      <c r="T28">
        <f>AVERAGE(B28,H28,N28)</f>
        <v>93.666666666666671</v>
      </c>
      <c r="V28" s="14" t="s">
        <v>63</v>
      </c>
      <c r="W28" s="8">
        <f>STDEVA(B29,H29,N29)</f>
        <v>7.0320034604568944</v>
      </c>
    </row>
    <row r="29" spans="1:23" x14ac:dyDescent="0.2">
      <c r="A29" t="s">
        <v>156</v>
      </c>
      <c r="B29">
        <f>(B28/E28)*100</f>
        <v>77.319587628865989</v>
      </c>
      <c r="C29">
        <f>(C28/E28)*100</f>
        <v>22.680412371134022</v>
      </c>
      <c r="D29">
        <f>(D28/E28)*100</f>
        <v>0</v>
      </c>
      <c r="G29" t="s">
        <v>156</v>
      </c>
      <c r="H29">
        <f>(H28/K28)*100</f>
        <v>65.333333333333329</v>
      </c>
      <c r="I29">
        <f>(I28/K28)*100</f>
        <v>33.333333333333329</v>
      </c>
      <c r="J29">
        <f>(J28/K28)*100</f>
        <v>1.3333333333333335</v>
      </c>
      <c r="M29" t="s">
        <v>156</v>
      </c>
      <c r="N29">
        <f>(N28/Q28)*100</f>
        <v>77.697841726618705</v>
      </c>
      <c r="O29">
        <f>(O28/Q28)*100</f>
        <v>22.302158273381295</v>
      </c>
      <c r="P29">
        <f>(P28/Q28)*100</f>
        <v>0</v>
      </c>
      <c r="S29" s="7" t="s">
        <v>156</v>
      </c>
      <c r="T29">
        <f>AVERAGE(B29,H29,N29)</f>
        <v>73.450254229606003</v>
      </c>
      <c r="V29" s="14" t="s">
        <v>59</v>
      </c>
      <c r="W29" s="8">
        <f>(W28/(SQRT(3)))</f>
        <v>4.0599290908371684</v>
      </c>
    </row>
    <row r="30" spans="1:23" x14ac:dyDescent="0.2">
      <c r="A30" s="89" t="s">
        <v>30</v>
      </c>
      <c r="B30" t="s">
        <v>161</v>
      </c>
      <c r="C30" t="s">
        <v>241</v>
      </c>
      <c r="D30" t="s">
        <v>242</v>
      </c>
      <c r="E30" t="s">
        <v>55</v>
      </c>
      <c r="G30" s="89" t="s">
        <v>30</v>
      </c>
      <c r="H30" t="s">
        <v>161</v>
      </c>
      <c r="I30" t="s">
        <v>241</v>
      </c>
      <c r="J30" t="s">
        <v>242</v>
      </c>
      <c r="K30" t="s">
        <v>55</v>
      </c>
      <c r="M30" s="89" t="s">
        <v>30</v>
      </c>
      <c r="N30" s="17" t="s">
        <v>161</v>
      </c>
      <c r="O30" s="17" t="s">
        <v>241</v>
      </c>
      <c r="P30" s="17" t="s">
        <v>242</v>
      </c>
      <c r="Q30" s="17" t="s">
        <v>55</v>
      </c>
      <c r="S30" s="87" t="s">
        <v>30</v>
      </c>
      <c r="T30" s="17" t="s">
        <v>161</v>
      </c>
      <c r="V30" s="14"/>
      <c r="W30" s="8"/>
    </row>
    <row r="31" spans="1:23" x14ac:dyDescent="0.2">
      <c r="B31">
        <v>82</v>
      </c>
      <c r="C31">
        <v>76</v>
      </c>
      <c r="D31">
        <v>2</v>
      </c>
      <c r="E31">
        <f>(D31+C31+B31)</f>
        <v>160</v>
      </c>
      <c r="H31">
        <v>93</v>
      </c>
      <c r="I31">
        <v>106</v>
      </c>
      <c r="J31">
        <v>20</v>
      </c>
      <c r="K31">
        <f>(J31+I31+H31)</f>
        <v>219</v>
      </c>
      <c r="N31">
        <v>68</v>
      </c>
      <c r="O31">
        <v>61</v>
      </c>
      <c r="P31">
        <v>0</v>
      </c>
      <c r="Q31">
        <f>(P31+O31+N31)</f>
        <v>129</v>
      </c>
      <c r="S31" s="7"/>
      <c r="T31">
        <f>AVERAGE(B31,H31,N31)</f>
        <v>81</v>
      </c>
      <c r="V31" s="14" t="s">
        <v>63</v>
      </c>
      <c r="W31" s="8">
        <f>STDEVA(B32,H32,N32)</f>
        <v>5.5424662844065864</v>
      </c>
    </row>
    <row r="32" spans="1:23" x14ac:dyDescent="0.2">
      <c r="A32" t="s">
        <v>156</v>
      </c>
      <c r="B32">
        <f>(B31/E31)*100</f>
        <v>51.249999999999993</v>
      </c>
      <c r="C32">
        <f>(C31/E31)*100</f>
        <v>47.5</v>
      </c>
      <c r="D32">
        <f>(D31/E31)*100</f>
        <v>1.25</v>
      </c>
      <c r="G32" t="s">
        <v>156</v>
      </c>
      <c r="H32">
        <f>(H31/K31)*100</f>
        <v>42.465753424657535</v>
      </c>
      <c r="I32">
        <f>(I31/K31)*100</f>
        <v>48.401826484018265</v>
      </c>
      <c r="J32">
        <f>(J31/K31)*100</f>
        <v>9.1324200913241995</v>
      </c>
      <c r="M32" t="s">
        <v>156</v>
      </c>
      <c r="N32">
        <f>(N31/Q31)*100</f>
        <v>52.713178294573652</v>
      </c>
      <c r="O32">
        <f>(O31/Q31)*100</f>
        <v>47.286821705426355</v>
      </c>
      <c r="P32">
        <f>(P31/Q31)*100</f>
        <v>0</v>
      </c>
      <c r="S32" s="7" t="s">
        <v>156</v>
      </c>
      <c r="T32">
        <f>AVERAGE(B32,H32,N32)</f>
        <v>48.809643906410393</v>
      </c>
      <c r="V32" s="14" t="s">
        <v>59</v>
      </c>
      <c r="W32" s="8">
        <f>(W31/(SQRT(3)))</f>
        <v>3.1999444012765679</v>
      </c>
    </row>
    <row r="33" spans="1:25" x14ac:dyDescent="0.2">
      <c r="S33" s="7"/>
      <c r="V33" s="14"/>
      <c r="W33" s="8"/>
    </row>
    <row r="34" spans="1:25" x14ac:dyDescent="0.2">
      <c r="A34" s="135" t="s">
        <v>305</v>
      </c>
      <c r="B34" s="135"/>
      <c r="C34" s="135"/>
      <c r="D34" s="135"/>
      <c r="E34" s="135"/>
      <c r="G34" s="135" t="s">
        <v>334</v>
      </c>
      <c r="H34" s="135"/>
      <c r="I34" s="135"/>
      <c r="J34" s="135"/>
      <c r="K34" s="135"/>
      <c r="M34" s="135" t="s">
        <v>335</v>
      </c>
      <c r="N34" s="135"/>
      <c r="O34" s="135"/>
      <c r="P34" s="135"/>
      <c r="Q34" s="135"/>
      <c r="S34" s="171" t="s">
        <v>416</v>
      </c>
      <c r="T34" s="172"/>
      <c r="U34" s="91"/>
      <c r="V34" s="14"/>
      <c r="W34" s="8"/>
    </row>
    <row r="35" spans="1:25" x14ac:dyDescent="0.2">
      <c r="A35" s="12" t="s">
        <v>29</v>
      </c>
      <c r="B35" t="s">
        <v>161</v>
      </c>
      <c r="C35" t="s">
        <v>241</v>
      </c>
      <c r="D35" t="s">
        <v>242</v>
      </c>
      <c r="E35" t="s">
        <v>55</v>
      </c>
      <c r="G35" s="12" t="s">
        <v>29</v>
      </c>
      <c r="H35" t="s">
        <v>161</v>
      </c>
      <c r="I35" t="s">
        <v>241</v>
      </c>
      <c r="J35" t="s">
        <v>242</v>
      </c>
      <c r="K35" t="s">
        <v>55</v>
      </c>
      <c r="M35" s="12" t="s">
        <v>29</v>
      </c>
      <c r="N35" s="17" t="s">
        <v>161</v>
      </c>
      <c r="O35" s="17" t="s">
        <v>241</v>
      </c>
      <c r="P35" s="17" t="s">
        <v>242</v>
      </c>
      <c r="Q35" s="17" t="s">
        <v>55</v>
      </c>
      <c r="S35" s="85" t="s">
        <v>29</v>
      </c>
      <c r="T35" t="s">
        <v>330</v>
      </c>
      <c r="V35" s="14" t="s">
        <v>298</v>
      </c>
      <c r="W35" s="8" t="s">
        <v>161</v>
      </c>
    </row>
    <row r="36" spans="1:25" x14ac:dyDescent="0.2">
      <c r="B36">
        <v>72</v>
      </c>
      <c r="C36">
        <v>44</v>
      </c>
      <c r="D36">
        <v>5</v>
      </c>
      <c r="E36">
        <f>(B36+C36+D36)</f>
        <v>121</v>
      </c>
      <c r="H36">
        <v>89</v>
      </c>
      <c r="I36">
        <v>46</v>
      </c>
      <c r="J36">
        <v>6</v>
      </c>
      <c r="K36">
        <f>(H36+I36+J36)</f>
        <v>141</v>
      </c>
      <c r="N36">
        <v>62</v>
      </c>
      <c r="O36">
        <v>59</v>
      </c>
      <c r="P36">
        <v>2</v>
      </c>
      <c r="Q36">
        <f>(N36+O36+P36)</f>
        <v>123</v>
      </c>
      <c r="S36" s="7"/>
      <c r="T36">
        <f>AVERAGE(B36,H36,N36)</f>
        <v>74.333333333333329</v>
      </c>
      <c r="V36" s="14" t="s">
        <v>63</v>
      </c>
      <c r="W36" s="8">
        <f>STDEVA(N37,H37,B37)</f>
        <v>6.5509903485384555</v>
      </c>
    </row>
    <row r="37" spans="1:25" x14ac:dyDescent="0.2">
      <c r="A37" t="s">
        <v>156</v>
      </c>
      <c r="B37">
        <f>(B36/E36)*100</f>
        <v>59.504132231404959</v>
      </c>
      <c r="C37">
        <f>(C36/E36)*100</f>
        <v>36.363636363636367</v>
      </c>
      <c r="D37">
        <f>(D36/E36)*100</f>
        <v>4.1322314049586781</v>
      </c>
      <c r="G37" t="s">
        <v>156</v>
      </c>
      <c r="H37">
        <f>(H36/K36)*100</f>
        <v>63.12056737588653</v>
      </c>
      <c r="I37">
        <f>(I36/K36)*100</f>
        <v>32.62411347517731</v>
      </c>
      <c r="J37">
        <f>(J36/K36)*100</f>
        <v>4.2553191489361701</v>
      </c>
      <c r="M37" t="s">
        <v>156</v>
      </c>
      <c r="N37">
        <f>(N36/Q36)*100</f>
        <v>50.40650406504065</v>
      </c>
      <c r="O37">
        <f>(O36/Q36)*100</f>
        <v>47.967479674796749</v>
      </c>
      <c r="P37">
        <f>(P36/Q36)*100</f>
        <v>1.6260162601626018</v>
      </c>
      <c r="S37" s="7" t="s">
        <v>156</v>
      </c>
      <c r="T37">
        <f>AVERAGE(B37,H37,N37)</f>
        <v>57.67706789077738</v>
      </c>
      <c r="V37" s="14" t="s">
        <v>59</v>
      </c>
      <c r="W37" s="8">
        <f>(W36/(SQRT(3)))</f>
        <v>3.782216041187318</v>
      </c>
    </row>
    <row r="38" spans="1:25" x14ac:dyDescent="0.2">
      <c r="A38" s="88" t="s">
        <v>28</v>
      </c>
      <c r="B38" t="s">
        <v>161</v>
      </c>
      <c r="C38" t="s">
        <v>241</v>
      </c>
      <c r="D38" t="s">
        <v>242</v>
      </c>
      <c r="E38" t="s">
        <v>55</v>
      </c>
      <c r="G38" s="88" t="s">
        <v>28</v>
      </c>
      <c r="H38" t="s">
        <v>161</v>
      </c>
      <c r="I38" t="s">
        <v>241</v>
      </c>
      <c r="J38" t="s">
        <v>242</v>
      </c>
      <c r="K38" t="s">
        <v>55</v>
      </c>
      <c r="M38" s="88" t="s">
        <v>28</v>
      </c>
      <c r="N38" s="17" t="s">
        <v>161</v>
      </c>
      <c r="O38" s="17" t="s">
        <v>241</v>
      </c>
      <c r="P38" s="17" t="s">
        <v>242</v>
      </c>
      <c r="Q38" s="17" t="s">
        <v>55</v>
      </c>
      <c r="S38" s="86" t="s">
        <v>28</v>
      </c>
      <c r="T38" s="17" t="s">
        <v>161</v>
      </c>
      <c r="V38" s="14"/>
      <c r="W38" s="8"/>
    </row>
    <row r="39" spans="1:25" x14ac:dyDescent="0.2">
      <c r="B39">
        <v>87</v>
      </c>
      <c r="C39">
        <v>34</v>
      </c>
      <c r="D39">
        <v>4</v>
      </c>
      <c r="E39">
        <f>(D39+C39+B39)</f>
        <v>125</v>
      </c>
      <c r="H39">
        <v>95</v>
      </c>
      <c r="I39">
        <v>25</v>
      </c>
      <c r="J39">
        <v>3</v>
      </c>
      <c r="K39">
        <f>(J39+I39+H39)</f>
        <v>123</v>
      </c>
      <c r="N39">
        <v>96</v>
      </c>
      <c r="O39">
        <v>32</v>
      </c>
      <c r="P39">
        <v>3</v>
      </c>
      <c r="Q39">
        <f>(P39+O39+N39)</f>
        <v>131</v>
      </c>
      <c r="S39" s="7"/>
      <c r="T39">
        <f>(AVERAGE(B39,H39,N39))</f>
        <v>92.666666666666671</v>
      </c>
      <c r="V39" s="14" t="s">
        <v>63</v>
      </c>
      <c r="W39" s="8">
        <f>STDEVA(B40,H40,N40)</f>
        <v>3.8186869273425414</v>
      </c>
    </row>
    <row r="40" spans="1:25" x14ac:dyDescent="0.2">
      <c r="A40" t="s">
        <v>156</v>
      </c>
      <c r="B40">
        <f>(B39/E39)*100</f>
        <v>69.599999999999994</v>
      </c>
      <c r="C40">
        <f>(C39/E39)*100</f>
        <v>27.200000000000003</v>
      </c>
      <c r="D40">
        <f>(D39/E39)*100</f>
        <v>3.2</v>
      </c>
      <c r="G40" t="s">
        <v>156</v>
      </c>
      <c r="H40">
        <f>(H39/K39)*100</f>
        <v>77.235772357723576</v>
      </c>
      <c r="I40">
        <f>(I39/K39)*100</f>
        <v>20.325203252032519</v>
      </c>
      <c r="J40">
        <f>(J39/K39)*100</f>
        <v>2.4390243902439024</v>
      </c>
      <c r="M40" t="s">
        <v>156</v>
      </c>
      <c r="N40">
        <f>(N39/Q39)*100</f>
        <v>73.282442748091597</v>
      </c>
      <c r="O40">
        <f>(O39/Q39)*100</f>
        <v>24.427480916030532</v>
      </c>
      <c r="P40">
        <f>(P39/Q39)*100</f>
        <v>2.2900763358778624</v>
      </c>
      <c r="S40" s="7" t="s">
        <v>156</v>
      </c>
      <c r="T40">
        <f>(AVERAGE(B40,H40,N40))</f>
        <v>73.372738368605056</v>
      </c>
      <c r="V40" s="14" t="s">
        <v>59</v>
      </c>
      <c r="W40" s="8">
        <f>(W39/(SQRT(3)))</f>
        <v>2.2047199254521215</v>
      </c>
    </row>
    <row r="41" spans="1:25" x14ac:dyDescent="0.2">
      <c r="A41" s="89" t="s">
        <v>30</v>
      </c>
      <c r="B41" t="s">
        <v>161</v>
      </c>
      <c r="C41" t="s">
        <v>241</v>
      </c>
      <c r="D41" t="s">
        <v>242</v>
      </c>
      <c r="E41" t="s">
        <v>55</v>
      </c>
      <c r="G41" s="89" t="s">
        <v>30</v>
      </c>
      <c r="H41" t="s">
        <v>161</v>
      </c>
      <c r="I41" t="s">
        <v>241</v>
      </c>
      <c r="J41" t="s">
        <v>242</v>
      </c>
      <c r="K41" t="s">
        <v>55</v>
      </c>
      <c r="M41" s="89" t="s">
        <v>30</v>
      </c>
      <c r="N41" s="17" t="s">
        <v>161</v>
      </c>
      <c r="O41" s="17" t="s">
        <v>241</v>
      </c>
      <c r="P41" s="17" t="s">
        <v>242</v>
      </c>
      <c r="Q41" s="17" t="s">
        <v>55</v>
      </c>
      <c r="S41" s="87" t="s">
        <v>30</v>
      </c>
      <c r="T41" s="17" t="s">
        <v>161</v>
      </c>
      <c r="V41" s="14"/>
      <c r="W41" s="8"/>
    </row>
    <row r="42" spans="1:25" x14ac:dyDescent="0.2">
      <c r="B42">
        <v>68</v>
      </c>
      <c r="C42">
        <v>84</v>
      </c>
      <c r="D42">
        <v>6</v>
      </c>
      <c r="E42">
        <f>(D42+C42+B42)</f>
        <v>158</v>
      </c>
      <c r="H42">
        <v>67</v>
      </c>
      <c r="I42">
        <v>64</v>
      </c>
      <c r="J42">
        <v>0</v>
      </c>
      <c r="K42">
        <f>(J42+I42+H42)</f>
        <v>131</v>
      </c>
      <c r="N42">
        <v>62</v>
      </c>
      <c r="O42">
        <v>47</v>
      </c>
      <c r="P42">
        <v>2</v>
      </c>
      <c r="Q42">
        <f>(P42+O42+N42)</f>
        <v>111</v>
      </c>
      <c r="S42" s="7"/>
      <c r="T42">
        <f>AVERAGE(B42,H42,N42)</f>
        <v>65.666666666666671</v>
      </c>
      <c r="V42" s="14" t="s">
        <v>63</v>
      </c>
      <c r="W42" s="8">
        <f>STDEVA(B43,H43,N43)</f>
        <v>6.4834964766487122</v>
      </c>
    </row>
    <row r="43" spans="1:25" ht="16" thickBot="1" x14ac:dyDescent="0.25">
      <c r="A43" t="s">
        <v>156</v>
      </c>
      <c r="B43">
        <f>(B42/E42)*100</f>
        <v>43.037974683544306</v>
      </c>
      <c r="C43">
        <f>(C42/E42)*100</f>
        <v>53.164556962025308</v>
      </c>
      <c r="D43">
        <f>(D42/E42)*100</f>
        <v>3.79746835443038</v>
      </c>
      <c r="G43" t="s">
        <v>156</v>
      </c>
      <c r="H43">
        <f>(H42/K42)*100</f>
        <v>51.145038167938928</v>
      </c>
      <c r="I43">
        <f>(I42/K42)*100</f>
        <v>48.854961832061065</v>
      </c>
      <c r="J43">
        <f>(J42/K42)*100</f>
        <v>0</v>
      </c>
      <c r="M43" t="s">
        <v>156</v>
      </c>
      <c r="N43">
        <f>(N42/Q42)*100</f>
        <v>55.85585585585585</v>
      </c>
      <c r="O43">
        <f>(O42/Q42)*100</f>
        <v>42.342342342342342</v>
      </c>
      <c r="P43">
        <f>(P42/Q42)*100</f>
        <v>1.8018018018018018</v>
      </c>
      <c r="S43" s="9" t="s">
        <v>156</v>
      </c>
      <c r="T43" s="4">
        <f>AVERAGE(B43,H43,N43)</f>
        <v>50.01295623577969</v>
      </c>
      <c r="U43" s="4"/>
      <c r="V43" s="97" t="s">
        <v>59</v>
      </c>
      <c r="W43" s="10">
        <f>(W42/(SQRT(3)))</f>
        <v>3.7432484360831242</v>
      </c>
    </row>
    <row r="46" spans="1:25" x14ac:dyDescent="0.2">
      <c r="B46" t="s">
        <v>95</v>
      </c>
      <c r="D46" s="110" t="s">
        <v>308</v>
      </c>
      <c r="E46" s="110"/>
      <c r="J46" t="s">
        <v>95</v>
      </c>
      <c r="L46" s="110" t="s">
        <v>309</v>
      </c>
      <c r="M46" s="110"/>
      <c r="R46" t="s">
        <v>95</v>
      </c>
      <c r="T46" s="110" t="s">
        <v>310</v>
      </c>
      <c r="U46" s="110"/>
      <c r="X46" s="114" t="s">
        <v>409</v>
      </c>
      <c r="Y46" s="114"/>
    </row>
    <row r="47" spans="1:25" x14ac:dyDescent="0.2">
      <c r="X47" s="167" t="s">
        <v>54</v>
      </c>
      <c r="Y47" s="167"/>
    </row>
    <row r="48" spans="1:25" ht="16" thickBot="1" x14ac:dyDescent="0.25">
      <c r="B48" t="s">
        <v>96</v>
      </c>
      <c r="J48" t="s">
        <v>96</v>
      </c>
      <c r="R48" t="s">
        <v>96</v>
      </c>
    </row>
    <row r="49" spans="2:24" x14ac:dyDescent="0.2">
      <c r="B49" s="3" t="s">
        <v>97</v>
      </c>
      <c r="C49" s="3" t="s">
        <v>98</v>
      </c>
      <c r="D49" s="3" t="s">
        <v>99</v>
      </c>
      <c r="E49" s="3" t="s">
        <v>100</v>
      </c>
      <c r="F49" s="3" t="s">
        <v>39</v>
      </c>
      <c r="J49" s="3" t="s">
        <v>97</v>
      </c>
      <c r="K49" s="3" t="s">
        <v>98</v>
      </c>
      <c r="L49" s="3" t="s">
        <v>99</v>
      </c>
      <c r="M49" s="3" t="s">
        <v>100</v>
      </c>
      <c r="N49" s="3" t="s">
        <v>39</v>
      </c>
      <c r="R49" s="3" t="s">
        <v>97</v>
      </c>
      <c r="S49" s="3" t="s">
        <v>98</v>
      </c>
      <c r="T49" s="3" t="s">
        <v>99</v>
      </c>
      <c r="U49" s="3" t="s">
        <v>100</v>
      </c>
      <c r="V49" s="3" t="s">
        <v>39</v>
      </c>
    </row>
    <row r="50" spans="2:24" x14ac:dyDescent="0.2">
      <c r="B50" t="s">
        <v>101</v>
      </c>
      <c r="C50">
        <v>3</v>
      </c>
      <c r="D50">
        <v>64.47804907658923</v>
      </c>
      <c r="E50">
        <v>21.492683025529743</v>
      </c>
      <c r="F50">
        <v>0.99057368322641637</v>
      </c>
      <c r="J50" t="s">
        <v>101</v>
      </c>
      <c r="K50">
        <v>3</v>
      </c>
      <c r="L50">
        <v>190.79104265625776</v>
      </c>
      <c r="M50">
        <v>63.597014218752584</v>
      </c>
      <c r="N50">
        <v>66.768825397614819</v>
      </c>
      <c r="R50" t="s">
        <v>101</v>
      </c>
      <c r="S50">
        <v>3</v>
      </c>
      <c r="T50">
        <v>173.03120367233214</v>
      </c>
      <c r="U50">
        <v>57.67706789077738</v>
      </c>
      <c r="V50">
        <v>42.915474546643992</v>
      </c>
    </row>
    <row r="51" spans="2:24" ht="16" thickBot="1" x14ac:dyDescent="0.25">
      <c r="B51" s="4" t="s">
        <v>102</v>
      </c>
      <c r="C51" s="4">
        <v>3</v>
      </c>
      <c r="D51" s="4">
        <v>182.04627157326331</v>
      </c>
      <c r="E51" s="4">
        <v>60.682090524421106</v>
      </c>
      <c r="F51" s="4">
        <v>50.364253317324035</v>
      </c>
      <c r="J51" s="4" t="s">
        <v>102</v>
      </c>
      <c r="K51" s="4">
        <v>3</v>
      </c>
      <c r="L51" s="4">
        <v>182.04627157326331</v>
      </c>
      <c r="M51" s="4">
        <v>60.682090524421106</v>
      </c>
      <c r="N51" s="4">
        <v>50.364253317324035</v>
      </c>
      <c r="R51" s="4" t="s">
        <v>102</v>
      </c>
      <c r="S51" s="4">
        <v>3</v>
      </c>
      <c r="T51" s="4">
        <v>182.04627157326331</v>
      </c>
      <c r="U51" s="4">
        <v>60.682090524421106</v>
      </c>
      <c r="V51" s="4">
        <v>50.364253317324035</v>
      </c>
    </row>
    <row r="54" spans="2:24" ht="16" thickBot="1" x14ac:dyDescent="0.25">
      <c r="B54" t="s">
        <v>103</v>
      </c>
      <c r="J54" t="s">
        <v>103</v>
      </c>
      <c r="R54" t="s">
        <v>103</v>
      </c>
    </row>
    <row r="55" spans="2:24" x14ac:dyDescent="0.2">
      <c r="B55" s="3" t="s">
        <v>104</v>
      </c>
      <c r="C55" s="3" t="s">
        <v>105</v>
      </c>
      <c r="D55" s="3" t="s">
        <v>106</v>
      </c>
      <c r="E55" s="3" t="s">
        <v>107</v>
      </c>
      <c r="F55" s="3" t="s">
        <v>49</v>
      </c>
      <c r="G55" s="3" t="s">
        <v>108</v>
      </c>
      <c r="H55" s="3" t="s">
        <v>109</v>
      </c>
      <c r="J55" s="3" t="s">
        <v>104</v>
      </c>
      <c r="K55" s="3" t="s">
        <v>105</v>
      </c>
      <c r="L55" s="3" t="s">
        <v>106</v>
      </c>
      <c r="M55" s="3" t="s">
        <v>107</v>
      </c>
      <c r="N55" s="3" t="s">
        <v>49</v>
      </c>
      <c r="O55" s="3" t="s">
        <v>108</v>
      </c>
      <c r="P55" s="3" t="s">
        <v>109</v>
      </c>
      <c r="R55" s="3" t="s">
        <v>104</v>
      </c>
      <c r="S55" s="3" t="s">
        <v>105</v>
      </c>
      <c r="T55" s="3" t="s">
        <v>106</v>
      </c>
      <c r="U55" s="3" t="s">
        <v>107</v>
      </c>
      <c r="V55" s="3" t="s">
        <v>49</v>
      </c>
      <c r="W55" s="3" t="s">
        <v>108</v>
      </c>
      <c r="X55" s="3" t="s">
        <v>109</v>
      </c>
    </row>
    <row r="56" spans="2:24" x14ac:dyDescent="0.2">
      <c r="B56" t="s">
        <v>110</v>
      </c>
      <c r="C56">
        <v>2303.7144901712441</v>
      </c>
      <c r="D56">
        <v>1</v>
      </c>
      <c r="E56">
        <v>2303.7144901712441</v>
      </c>
      <c r="F56">
        <v>89.717544570700298</v>
      </c>
      <c r="G56">
        <v>6.9309889929290377E-4</v>
      </c>
      <c r="H56">
        <v>7.708647422176786</v>
      </c>
      <c r="J56" t="s">
        <v>110</v>
      </c>
      <c r="K56">
        <v>12.745170215662654</v>
      </c>
      <c r="L56">
        <v>1</v>
      </c>
      <c r="M56">
        <v>12.745170215662654</v>
      </c>
      <c r="N56">
        <v>0.21761863267813447</v>
      </c>
      <c r="O56">
        <v>0.66513392003709026</v>
      </c>
      <c r="P56">
        <v>7.708647422176786</v>
      </c>
      <c r="R56" t="s">
        <v>110</v>
      </c>
      <c r="S56">
        <v>13.545241543066652</v>
      </c>
      <c r="T56">
        <v>1</v>
      </c>
      <c r="U56">
        <v>13.545241543066652</v>
      </c>
      <c r="V56">
        <v>0.29042197813484172</v>
      </c>
      <c r="W56">
        <v>0.6185439506168835</v>
      </c>
      <c r="X56">
        <v>7.708647422176786</v>
      </c>
    </row>
    <row r="57" spans="2:24" x14ac:dyDescent="0.2">
      <c r="B57" t="s">
        <v>111</v>
      </c>
      <c r="C57">
        <v>102.7096540011009</v>
      </c>
      <c r="D57">
        <v>4</v>
      </c>
      <c r="E57">
        <v>25.677413500275225</v>
      </c>
      <c r="J57" t="s">
        <v>111</v>
      </c>
      <c r="K57">
        <v>234.26615742987786</v>
      </c>
      <c r="L57">
        <v>4</v>
      </c>
      <c r="M57">
        <v>58.566539357469466</v>
      </c>
      <c r="R57" t="s">
        <v>111</v>
      </c>
      <c r="S57">
        <v>186.55945572793604</v>
      </c>
      <c r="T57">
        <v>4</v>
      </c>
      <c r="U57">
        <v>46.63986393198401</v>
      </c>
    </row>
    <row r="59" spans="2:24" ht="16" thickBot="1" x14ac:dyDescent="0.25">
      <c r="B59" s="4" t="s">
        <v>55</v>
      </c>
      <c r="C59" s="4">
        <v>2406.4241441723448</v>
      </c>
      <c r="D59" s="4">
        <v>5</v>
      </c>
      <c r="E59" s="4"/>
      <c r="F59" s="4"/>
      <c r="G59" s="4"/>
      <c r="H59" s="4"/>
      <c r="J59" s="4" t="s">
        <v>55</v>
      </c>
      <c r="K59" s="4">
        <v>247.01132764554052</v>
      </c>
      <c r="L59" s="4">
        <v>5</v>
      </c>
      <c r="M59" s="4"/>
      <c r="N59" s="4"/>
      <c r="O59" s="4"/>
      <c r="P59" s="4"/>
      <c r="R59" s="4" t="s">
        <v>55</v>
      </c>
      <c r="S59" s="4">
        <v>200.10469727100269</v>
      </c>
      <c r="T59" s="4">
        <v>5</v>
      </c>
      <c r="U59" s="4"/>
      <c r="V59" s="4"/>
      <c r="W59" s="4"/>
      <c r="X59" s="4"/>
    </row>
    <row r="62" spans="2:24" x14ac:dyDescent="0.2">
      <c r="B62" t="s">
        <v>95</v>
      </c>
      <c r="D62" s="110" t="s">
        <v>311</v>
      </c>
      <c r="E62" s="110"/>
      <c r="J62" t="s">
        <v>95</v>
      </c>
      <c r="M62" s="110" t="s">
        <v>312</v>
      </c>
      <c r="N62" s="110"/>
      <c r="R62" t="s">
        <v>95</v>
      </c>
      <c r="T62" s="110" t="s">
        <v>313</v>
      </c>
      <c r="U62" s="110"/>
    </row>
    <row r="64" spans="2:24" ht="16" thickBot="1" x14ac:dyDescent="0.25">
      <c r="B64" t="s">
        <v>96</v>
      </c>
      <c r="J64" t="s">
        <v>96</v>
      </c>
      <c r="R64" t="s">
        <v>96</v>
      </c>
    </row>
    <row r="65" spans="2:24" x14ac:dyDescent="0.2">
      <c r="B65" s="3" t="s">
        <v>97</v>
      </c>
      <c r="C65" s="3" t="s">
        <v>98</v>
      </c>
      <c r="D65" s="3" t="s">
        <v>99</v>
      </c>
      <c r="E65" s="3" t="s">
        <v>100</v>
      </c>
      <c r="F65" s="3" t="s">
        <v>39</v>
      </c>
      <c r="J65" s="3" t="s">
        <v>97</v>
      </c>
      <c r="K65" s="3" t="s">
        <v>98</v>
      </c>
      <c r="L65" s="3" t="s">
        <v>99</v>
      </c>
      <c r="M65" s="3" t="s">
        <v>100</v>
      </c>
      <c r="N65" s="3" t="s">
        <v>39</v>
      </c>
      <c r="R65" s="3" t="s">
        <v>97</v>
      </c>
      <c r="S65" s="3" t="s">
        <v>98</v>
      </c>
      <c r="T65" s="3" t="s">
        <v>99</v>
      </c>
      <c r="U65" s="3" t="s">
        <v>100</v>
      </c>
      <c r="V65" s="3" t="s">
        <v>39</v>
      </c>
    </row>
    <row r="66" spans="2:24" x14ac:dyDescent="0.2">
      <c r="B66" t="s">
        <v>101</v>
      </c>
      <c r="C66">
        <v>3</v>
      </c>
      <c r="D66">
        <v>189.10430700142888</v>
      </c>
      <c r="E66">
        <v>63.034769000476295</v>
      </c>
      <c r="F66">
        <v>11.266945694885347</v>
      </c>
      <c r="J66" t="s">
        <v>101</v>
      </c>
      <c r="K66">
        <v>3</v>
      </c>
      <c r="L66">
        <v>220.35076268881801</v>
      </c>
      <c r="M66">
        <v>73.450254229606003</v>
      </c>
      <c r="N66">
        <v>49.449072667877736</v>
      </c>
      <c r="R66" t="s">
        <v>101</v>
      </c>
      <c r="S66">
        <v>3</v>
      </c>
      <c r="T66">
        <v>220.11821510581515</v>
      </c>
      <c r="U66">
        <v>73.372738368605056</v>
      </c>
      <c r="V66">
        <v>14.582369849056819</v>
      </c>
    </row>
    <row r="67" spans="2:24" ht="16" thickBot="1" x14ac:dyDescent="0.25">
      <c r="B67" s="4" t="s">
        <v>102</v>
      </c>
      <c r="C67" s="4">
        <v>3</v>
      </c>
      <c r="D67" s="4">
        <v>232.32649954307112</v>
      </c>
      <c r="E67" s="4">
        <v>77.442166514357041</v>
      </c>
      <c r="F67" s="4">
        <v>34.42439919586127</v>
      </c>
      <c r="J67" s="4" t="s">
        <v>102</v>
      </c>
      <c r="K67" s="4">
        <v>3</v>
      </c>
      <c r="L67" s="4">
        <v>232.32649954307112</v>
      </c>
      <c r="M67" s="4">
        <v>77.442166514357041</v>
      </c>
      <c r="N67" s="4">
        <v>34.42439919586127</v>
      </c>
      <c r="R67" s="4" t="s">
        <v>102</v>
      </c>
      <c r="S67" s="4">
        <v>3</v>
      </c>
      <c r="T67" s="4">
        <v>232.32649954307112</v>
      </c>
      <c r="U67" s="4">
        <v>77.442166514357041</v>
      </c>
      <c r="V67" s="4">
        <v>34.42439919586127</v>
      </c>
    </row>
    <row r="70" spans="2:24" ht="16" thickBot="1" x14ac:dyDescent="0.25">
      <c r="B70" t="s">
        <v>103</v>
      </c>
      <c r="J70" t="s">
        <v>103</v>
      </c>
      <c r="R70" t="s">
        <v>103</v>
      </c>
    </row>
    <row r="71" spans="2:24" x14ac:dyDescent="0.2">
      <c r="B71" s="3" t="s">
        <v>104</v>
      </c>
      <c r="C71" s="3" t="s">
        <v>105</v>
      </c>
      <c r="D71" s="3" t="s">
        <v>106</v>
      </c>
      <c r="E71" s="3" t="s">
        <v>107</v>
      </c>
      <c r="F71" s="3" t="s">
        <v>49</v>
      </c>
      <c r="G71" s="3" t="s">
        <v>108</v>
      </c>
      <c r="H71" s="3" t="s">
        <v>109</v>
      </c>
      <c r="J71" s="3" t="s">
        <v>104</v>
      </c>
      <c r="K71" s="3" t="s">
        <v>105</v>
      </c>
      <c r="L71" s="3" t="s">
        <v>106</v>
      </c>
      <c r="M71" s="3" t="s">
        <v>107</v>
      </c>
      <c r="N71" s="3" t="s">
        <v>49</v>
      </c>
      <c r="O71" s="3" t="s">
        <v>108</v>
      </c>
      <c r="P71" s="3" t="s">
        <v>109</v>
      </c>
      <c r="R71" s="3" t="s">
        <v>104</v>
      </c>
      <c r="S71" s="3" t="s">
        <v>105</v>
      </c>
      <c r="T71" s="3" t="s">
        <v>106</v>
      </c>
      <c r="U71" s="3" t="s">
        <v>107</v>
      </c>
      <c r="V71" s="3" t="s">
        <v>49</v>
      </c>
      <c r="W71" s="3" t="s">
        <v>108</v>
      </c>
      <c r="X71" s="3" t="s">
        <v>109</v>
      </c>
    </row>
    <row r="72" spans="2:24" x14ac:dyDescent="0.2">
      <c r="B72" t="s">
        <v>110</v>
      </c>
      <c r="C72">
        <v>311.35965468446597</v>
      </c>
      <c r="D72">
        <v>1</v>
      </c>
      <c r="E72">
        <v>311.35965468446597</v>
      </c>
      <c r="F72">
        <v>13.62882425233766</v>
      </c>
      <c r="G72">
        <v>2.0986997238062632E-2</v>
      </c>
      <c r="H72">
        <v>7.708647422176786</v>
      </c>
      <c r="J72" t="s">
        <v>110</v>
      </c>
      <c r="K72">
        <v>23.903045533719308</v>
      </c>
      <c r="L72">
        <v>1</v>
      </c>
      <c r="M72">
        <v>23.903045533719308</v>
      </c>
      <c r="N72">
        <v>0.56997868342811031</v>
      </c>
      <c r="O72">
        <v>0.49228264846776348</v>
      </c>
      <c r="P72">
        <v>7.708647422176786</v>
      </c>
      <c r="R72" t="s">
        <v>110</v>
      </c>
      <c r="S72">
        <v>24.840368150157673</v>
      </c>
      <c r="T72">
        <v>1</v>
      </c>
      <c r="U72">
        <v>24.840368150157673</v>
      </c>
      <c r="V72">
        <v>1.0137525339566769</v>
      </c>
      <c r="W72">
        <v>0.37096896474582569</v>
      </c>
      <c r="X72">
        <v>7.708647422176786</v>
      </c>
    </row>
    <row r="73" spans="2:24" x14ac:dyDescent="0.2">
      <c r="B73" t="s">
        <v>111</v>
      </c>
      <c r="C73">
        <v>91.382689781493241</v>
      </c>
      <c r="D73">
        <v>4</v>
      </c>
      <c r="E73">
        <v>22.84567244537331</v>
      </c>
      <c r="J73" t="s">
        <v>111</v>
      </c>
      <c r="K73">
        <v>167.74694372747803</v>
      </c>
      <c r="L73">
        <v>4</v>
      </c>
      <c r="M73">
        <v>41.936735931869507</v>
      </c>
      <c r="R73" t="s">
        <v>111</v>
      </c>
      <c r="S73">
        <v>98.013538089836175</v>
      </c>
      <c r="T73">
        <v>4</v>
      </c>
      <c r="U73">
        <v>24.503384522459044</v>
      </c>
    </row>
    <row r="75" spans="2:24" ht="16" thickBot="1" x14ac:dyDescent="0.25">
      <c r="B75" s="4" t="s">
        <v>55</v>
      </c>
      <c r="C75" s="4">
        <v>402.74234446595921</v>
      </c>
      <c r="D75" s="4">
        <v>5</v>
      </c>
      <c r="E75" s="4"/>
      <c r="F75" s="4"/>
      <c r="G75" s="4"/>
      <c r="H75" s="4"/>
      <c r="J75" s="4" t="s">
        <v>55</v>
      </c>
      <c r="K75" s="4">
        <v>191.64998926119733</v>
      </c>
      <c r="L75" s="4">
        <v>5</v>
      </c>
      <c r="M75" s="4"/>
      <c r="N75" s="4"/>
      <c r="O75" s="4"/>
      <c r="P75" s="4"/>
      <c r="R75" s="4" t="s">
        <v>55</v>
      </c>
      <c r="S75" s="4">
        <v>122.85390623999385</v>
      </c>
      <c r="T75" s="4">
        <v>5</v>
      </c>
      <c r="U75" s="4"/>
      <c r="V75" s="4"/>
      <c r="W75" s="4"/>
      <c r="X75" s="4"/>
    </row>
    <row r="77" spans="2:24" x14ac:dyDescent="0.2">
      <c r="B77" t="s">
        <v>95</v>
      </c>
      <c r="D77" s="110" t="s">
        <v>314</v>
      </c>
      <c r="E77" s="110"/>
    </row>
    <row r="78" spans="2:24" x14ac:dyDescent="0.2">
      <c r="J78" t="s">
        <v>95</v>
      </c>
      <c r="L78" s="110" t="s">
        <v>417</v>
      </c>
      <c r="M78" s="110"/>
      <c r="R78" t="s">
        <v>95</v>
      </c>
      <c r="T78" s="110" t="s">
        <v>418</v>
      </c>
      <c r="U78" s="110"/>
    </row>
    <row r="79" spans="2:24" ht="16" thickBot="1" x14ac:dyDescent="0.25">
      <c r="B79" t="s">
        <v>96</v>
      </c>
    </row>
    <row r="80" spans="2:24" ht="16" thickBot="1" x14ac:dyDescent="0.25">
      <c r="B80" s="154" t="s">
        <v>97</v>
      </c>
      <c r="C80" s="154" t="s">
        <v>98</v>
      </c>
      <c r="D80" s="154" t="s">
        <v>99</v>
      </c>
      <c r="E80" s="154" t="s">
        <v>100</v>
      </c>
      <c r="F80" s="154" t="s">
        <v>39</v>
      </c>
      <c r="J80" t="s">
        <v>96</v>
      </c>
      <c r="R80" t="s">
        <v>96</v>
      </c>
    </row>
    <row r="81" spans="2:24" x14ac:dyDescent="0.2">
      <c r="B81" s="152" t="s">
        <v>101</v>
      </c>
      <c r="C81" s="152">
        <v>3</v>
      </c>
      <c r="D81" s="152">
        <v>148.93617021276594</v>
      </c>
      <c r="E81" s="152">
        <v>49.645390070921984</v>
      </c>
      <c r="F81" s="152">
        <v>0.37724460540214211</v>
      </c>
      <c r="J81" s="154" t="s">
        <v>97</v>
      </c>
      <c r="K81" s="154" t="s">
        <v>98</v>
      </c>
      <c r="L81" s="154" t="s">
        <v>99</v>
      </c>
      <c r="M81" s="154" t="s">
        <v>100</v>
      </c>
      <c r="N81" s="154" t="s">
        <v>39</v>
      </c>
      <c r="R81" s="154" t="s">
        <v>97</v>
      </c>
      <c r="S81" s="154" t="s">
        <v>98</v>
      </c>
      <c r="T81" s="154" t="s">
        <v>99</v>
      </c>
      <c r="U81" s="154" t="s">
        <v>100</v>
      </c>
      <c r="V81" s="154" t="s">
        <v>39</v>
      </c>
    </row>
    <row r="82" spans="2:24" ht="16" thickBot="1" x14ac:dyDescent="0.25">
      <c r="B82" s="153" t="s">
        <v>102</v>
      </c>
      <c r="C82" s="153">
        <v>3</v>
      </c>
      <c r="D82" s="153">
        <v>150.69086651053863</v>
      </c>
      <c r="E82" s="153">
        <v>50.230288836846206</v>
      </c>
      <c r="F82" s="153">
        <v>72.758630461053599</v>
      </c>
      <c r="J82" s="152" t="s">
        <v>101</v>
      </c>
      <c r="K82" s="152">
        <v>3</v>
      </c>
      <c r="L82" s="152">
        <v>150.69086651053863</v>
      </c>
      <c r="M82" s="152">
        <v>50.230288836846206</v>
      </c>
      <c r="N82" s="152">
        <v>72.758630461053599</v>
      </c>
      <c r="R82" s="152" t="s">
        <v>101</v>
      </c>
      <c r="S82" s="152">
        <v>3</v>
      </c>
      <c r="T82" s="152">
        <v>150.69086651053863</v>
      </c>
      <c r="U82" s="152">
        <v>50.230288836846206</v>
      </c>
      <c r="V82" s="152">
        <v>72.758630461053599</v>
      </c>
    </row>
    <row r="83" spans="2:24" ht="16" thickBot="1" x14ac:dyDescent="0.25">
      <c r="J83" s="153" t="s">
        <v>102</v>
      </c>
      <c r="K83" s="153">
        <v>3</v>
      </c>
      <c r="L83" s="153">
        <v>146.42893171923117</v>
      </c>
      <c r="M83" s="153">
        <v>48.809643906410393</v>
      </c>
      <c r="N83" s="153">
        <v>30.718932513783749</v>
      </c>
      <c r="R83" s="153" t="s">
        <v>102</v>
      </c>
      <c r="S83" s="153">
        <v>3</v>
      </c>
      <c r="T83" s="153">
        <v>150.03886870733908</v>
      </c>
      <c r="U83" s="153">
        <v>50.01295623577969</v>
      </c>
      <c r="V83" s="153">
        <v>42.035726562716263</v>
      </c>
    </row>
    <row r="85" spans="2:24" ht="16" thickBot="1" x14ac:dyDescent="0.25">
      <c r="B85" t="s">
        <v>103</v>
      </c>
    </row>
    <row r="86" spans="2:24" ht="16" thickBot="1" x14ac:dyDescent="0.25">
      <c r="B86" s="154" t="s">
        <v>104</v>
      </c>
      <c r="C86" s="154" t="s">
        <v>105</v>
      </c>
      <c r="D86" s="154" t="s">
        <v>106</v>
      </c>
      <c r="E86" s="154" t="s">
        <v>107</v>
      </c>
      <c r="F86" s="154" t="s">
        <v>49</v>
      </c>
      <c r="G86" s="154" t="s">
        <v>108</v>
      </c>
      <c r="H86" s="154" t="s">
        <v>109</v>
      </c>
      <c r="J86" t="s">
        <v>103</v>
      </c>
      <c r="R86" t="s">
        <v>103</v>
      </c>
    </row>
    <row r="87" spans="2:24" x14ac:dyDescent="0.2">
      <c r="B87" s="152" t="s">
        <v>110</v>
      </c>
      <c r="C87" s="152">
        <v>0.51315984956951866</v>
      </c>
      <c r="D87" s="152">
        <v>1</v>
      </c>
      <c r="E87" s="152">
        <v>0.51315984956951866</v>
      </c>
      <c r="F87" s="152">
        <v>1.4033054205018653E-2</v>
      </c>
      <c r="G87" s="152">
        <v>0.91141289782496904</v>
      </c>
      <c r="H87" s="152">
        <v>7.708647422176786</v>
      </c>
      <c r="J87" s="154" t="s">
        <v>104</v>
      </c>
      <c r="K87" s="154" t="s">
        <v>105</v>
      </c>
      <c r="L87" s="154" t="s">
        <v>106</v>
      </c>
      <c r="M87" s="154" t="s">
        <v>107</v>
      </c>
      <c r="N87" s="154" t="s">
        <v>49</v>
      </c>
      <c r="O87" s="154" t="s">
        <v>108</v>
      </c>
      <c r="P87" s="154" t="s">
        <v>109</v>
      </c>
      <c r="R87" s="154" t="s">
        <v>104</v>
      </c>
      <c r="S87" s="154" t="s">
        <v>105</v>
      </c>
      <c r="T87" s="154" t="s">
        <v>106</v>
      </c>
      <c r="U87" s="154" t="s">
        <v>107</v>
      </c>
      <c r="V87" s="154" t="s">
        <v>49</v>
      </c>
      <c r="W87" s="154" t="s">
        <v>108</v>
      </c>
      <c r="X87" s="154" t="s">
        <v>109</v>
      </c>
    </row>
    <row r="88" spans="2:24" x14ac:dyDescent="0.2">
      <c r="B88" s="152" t="s">
        <v>111</v>
      </c>
      <c r="C88" s="152">
        <v>146.27175013291031</v>
      </c>
      <c r="D88" s="152">
        <v>4</v>
      </c>
      <c r="E88" s="152">
        <v>36.567937533227578</v>
      </c>
      <c r="F88" s="152"/>
      <c r="G88" s="152"/>
      <c r="H88" s="152"/>
      <c r="J88" s="152" t="s">
        <v>110</v>
      </c>
      <c r="K88" s="152">
        <v>3.0273480275595261</v>
      </c>
      <c r="L88" s="152">
        <v>1</v>
      </c>
      <c r="M88" s="152">
        <v>3.0273480275595261</v>
      </c>
      <c r="N88" s="152">
        <v>5.8512163227031233E-2</v>
      </c>
      <c r="O88" s="152">
        <v>0.82075841172526487</v>
      </c>
      <c r="P88" s="152">
        <v>7.708647422176786</v>
      </c>
      <c r="R88" s="152" t="s">
        <v>110</v>
      </c>
      <c r="S88" s="152">
        <v>7.0850189229503258E-2</v>
      </c>
      <c r="T88" s="152">
        <v>1</v>
      </c>
      <c r="U88" s="152">
        <v>7.0850189229503258E-2</v>
      </c>
      <c r="V88" s="152">
        <v>1.2343845301530521E-3</v>
      </c>
      <c r="W88" s="152">
        <v>0.97365641745360343</v>
      </c>
      <c r="X88" s="152">
        <v>7.708647422176786</v>
      </c>
    </row>
    <row r="89" spans="2:24" x14ac:dyDescent="0.2">
      <c r="B89" s="152"/>
      <c r="C89" s="152"/>
      <c r="D89" s="152"/>
      <c r="E89" s="152"/>
      <c r="F89" s="152"/>
      <c r="G89" s="152"/>
      <c r="H89" s="152"/>
      <c r="J89" s="152" t="s">
        <v>111</v>
      </c>
      <c r="K89" s="152">
        <v>206.95512594967352</v>
      </c>
      <c r="L89" s="152">
        <v>4</v>
      </c>
      <c r="M89" s="152">
        <v>51.738781487418379</v>
      </c>
      <c r="N89" s="152"/>
      <c r="O89" s="152"/>
      <c r="P89" s="152"/>
      <c r="R89" s="152" t="s">
        <v>111</v>
      </c>
      <c r="S89" s="152">
        <v>229.58871404753751</v>
      </c>
      <c r="T89" s="152">
        <v>4</v>
      </c>
      <c r="U89" s="152">
        <v>57.397178511884377</v>
      </c>
      <c r="V89" s="152"/>
      <c r="W89" s="152"/>
      <c r="X89" s="152"/>
    </row>
    <row r="90" spans="2:24" ht="16" thickBot="1" x14ac:dyDescent="0.25">
      <c r="B90" s="153" t="s">
        <v>55</v>
      </c>
      <c r="C90" s="153">
        <v>146.78490998247983</v>
      </c>
      <c r="D90" s="153">
        <v>5</v>
      </c>
      <c r="E90" s="153"/>
      <c r="F90" s="153"/>
      <c r="G90" s="153"/>
      <c r="H90" s="153"/>
      <c r="J90" s="152"/>
      <c r="K90" s="152"/>
      <c r="L90" s="152"/>
      <c r="M90" s="152"/>
      <c r="N90" s="152"/>
      <c r="O90" s="152"/>
      <c r="P90" s="152"/>
      <c r="R90" s="152"/>
      <c r="S90" s="152"/>
      <c r="T90" s="152"/>
      <c r="U90" s="152"/>
      <c r="V90" s="152"/>
      <c r="W90" s="152"/>
      <c r="X90" s="152"/>
    </row>
    <row r="91" spans="2:24" ht="16" thickBot="1" x14ac:dyDescent="0.25">
      <c r="B91" s="152"/>
      <c r="C91" s="152"/>
      <c r="D91" s="152"/>
      <c r="E91" s="152"/>
      <c r="F91" s="152"/>
      <c r="G91" s="152"/>
      <c r="H91" s="152"/>
      <c r="J91" s="153" t="s">
        <v>55</v>
      </c>
      <c r="K91" s="153">
        <v>209.98247397723304</v>
      </c>
      <c r="L91" s="153">
        <v>5</v>
      </c>
      <c r="M91" s="153"/>
      <c r="N91" s="153"/>
      <c r="O91" s="153"/>
      <c r="P91" s="153"/>
      <c r="R91" s="153" t="s">
        <v>55</v>
      </c>
      <c r="S91" s="153">
        <v>229.65956423676701</v>
      </c>
      <c r="T91" s="153">
        <v>5</v>
      </c>
      <c r="U91" s="153"/>
      <c r="V91" s="153"/>
      <c r="W91" s="153"/>
      <c r="X91" s="153"/>
    </row>
    <row r="92" spans="2:24" x14ac:dyDescent="0.2">
      <c r="B92" s="152"/>
      <c r="C92" s="152"/>
      <c r="D92" s="152"/>
      <c r="E92" s="152"/>
      <c r="F92" s="152"/>
      <c r="G92" s="152"/>
      <c r="H92" s="152"/>
    </row>
    <row r="93" spans="2:24" x14ac:dyDescent="0.2">
      <c r="B93" s="168"/>
      <c r="C93" s="168"/>
      <c r="D93" s="168"/>
      <c r="E93" s="168"/>
      <c r="F93" s="168"/>
      <c r="G93" s="168"/>
      <c r="H93" s="168"/>
      <c r="J93" s="158"/>
      <c r="K93" s="158"/>
      <c r="L93" s="158"/>
      <c r="M93" s="158"/>
      <c r="N93" s="158"/>
      <c r="O93" s="158"/>
      <c r="P93" s="158"/>
      <c r="Q93" s="158"/>
      <c r="R93" s="158"/>
    </row>
    <row r="94" spans="2:24" x14ac:dyDescent="0.2">
      <c r="D94" s="152"/>
      <c r="E94" s="152"/>
      <c r="F94" s="152"/>
      <c r="G94" s="152"/>
      <c r="H94" s="152"/>
      <c r="Q94" s="158"/>
    </row>
    <row r="95" spans="2:24" x14ac:dyDescent="0.2">
      <c r="B95" s="158"/>
      <c r="C95" s="158"/>
      <c r="D95" s="152"/>
      <c r="E95" s="152"/>
      <c r="F95" s="152"/>
      <c r="G95" s="152"/>
      <c r="H95" s="152"/>
      <c r="Q95" s="158"/>
    </row>
    <row r="96" spans="2:24" x14ac:dyDescent="0.2">
      <c r="B96" s="158"/>
      <c r="C96" s="158"/>
      <c r="D96" s="152"/>
      <c r="E96" s="152"/>
      <c r="F96" s="152"/>
      <c r="G96" s="152"/>
      <c r="H96" s="152"/>
      <c r="Q96" s="158"/>
    </row>
    <row r="97" spans="2:18" x14ac:dyDescent="0.2">
      <c r="B97" s="152"/>
      <c r="C97" s="152"/>
      <c r="D97" s="152"/>
      <c r="E97" s="152"/>
      <c r="F97" s="152"/>
      <c r="G97" s="152"/>
      <c r="H97" s="152"/>
      <c r="Q97" s="158"/>
    </row>
    <row r="98" spans="2:18" x14ac:dyDescent="0.2">
      <c r="Q98" s="158"/>
    </row>
    <row r="99" spans="2:18" x14ac:dyDescent="0.2">
      <c r="Q99" s="158"/>
    </row>
    <row r="100" spans="2:18" x14ac:dyDescent="0.2">
      <c r="Q100" s="158"/>
    </row>
    <row r="101" spans="2:18" x14ac:dyDescent="0.2">
      <c r="Q101" s="158"/>
    </row>
    <row r="102" spans="2:18" x14ac:dyDescent="0.2">
      <c r="Q102" s="158"/>
    </row>
    <row r="103" spans="2:18" x14ac:dyDescent="0.2">
      <c r="Q103" s="158"/>
    </row>
    <row r="104" spans="2:18" x14ac:dyDescent="0.2">
      <c r="Q104" s="158"/>
    </row>
    <row r="105" spans="2:18" x14ac:dyDescent="0.2">
      <c r="Q105" s="158"/>
    </row>
    <row r="106" spans="2:18" x14ac:dyDescent="0.2">
      <c r="Q106" s="158"/>
    </row>
    <row r="107" spans="2:18" x14ac:dyDescent="0.2">
      <c r="Q107" s="158"/>
    </row>
    <row r="108" spans="2:18" x14ac:dyDescent="0.2">
      <c r="J108" s="158"/>
      <c r="K108" s="158"/>
      <c r="L108" s="158"/>
      <c r="M108" s="158"/>
      <c r="N108" s="158"/>
      <c r="O108" s="158"/>
      <c r="P108" s="158"/>
      <c r="Q108" s="158"/>
      <c r="R108" s="158"/>
    </row>
    <row r="109" spans="2:18" x14ac:dyDescent="0.2">
      <c r="J109" s="158"/>
      <c r="K109" s="158"/>
      <c r="L109" s="158"/>
      <c r="M109" s="158"/>
      <c r="N109" s="158"/>
      <c r="O109" s="158"/>
      <c r="P109" s="158"/>
      <c r="Q109" s="158"/>
      <c r="R109" s="158"/>
    </row>
  </sheetData>
  <mergeCells count="27">
    <mergeCell ref="X46:Y46"/>
    <mergeCell ref="X47:Y47"/>
    <mergeCell ref="S1:T1"/>
    <mergeCell ref="S12:T12"/>
    <mergeCell ref="S23:T23"/>
    <mergeCell ref="S34:T34"/>
    <mergeCell ref="A23:E23"/>
    <mergeCell ref="G23:K23"/>
    <mergeCell ref="M23:Q23"/>
    <mergeCell ref="A34:E34"/>
    <mergeCell ref="G34:K34"/>
    <mergeCell ref="M34:Q34"/>
    <mergeCell ref="A1:E1"/>
    <mergeCell ref="G1:K1"/>
    <mergeCell ref="M1:Q1"/>
    <mergeCell ref="A12:E12"/>
    <mergeCell ref="G12:K12"/>
    <mergeCell ref="M12:Q12"/>
    <mergeCell ref="T46:U46"/>
    <mergeCell ref="D62:E62"/>
    <mergeCell ref="M62:N62"/>
    <mergeCell ref="T62:U62"/>
    <mergeCell ref="T78:U78"/>
    <mergeCell ref="L78:M78"/>
    <mergeCell ref="D46:E46"/>
    <mergeCell ref="L46:M46"/>
    <mergeCell ref="D77:E7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2EF2-F39A-8545-976D-AF38DC51E0EC}">
  <sheetPr>
    <tabColor rgb="FF00B050"/>
  </sheetPr>
  <dimension ref="A1:X69"/>
  <sheetViews>
    <sheetView topLeftCell="C14" workbookViewId="0">
      <selection activeCell="W40" sqref="W40:X41"/>
    </sheetView>
  </sheetViews>
  <sheetFormatPr baseColWidth="10" defaultRowHeight="15" x14ac:dyDescent="0.2"/>
  <cols>
    <col min="1" max="1" width="7.6640625" customWidth="1"/>
    <col min="4" max="4" width="8.33203125" customWidth="1"/>
    <col min="5" max="5" width="11.5" customWidth="1"/>
    <col min="6" max="6" width="10.33203125" customWidth="1"/>
    <col min="10" max="10" width="12.6640625" customWidth="1"/>
    <col min="11" max="11" width="7" customWidth="1"/>
    <col min="15" max="15" width="8" customWidth="1"/>
    <col min="16" max="16" width="7.83203125" customWidth="1"/>
    <col min="19" max="19" width="8.83203125" customWidth="1"/>
  </cols>
  <sheetData>
    <row r="1" spans="1:19" x14ac:dyDescent="0.2">
      <c r="B1" s="136" t="s">
        <v>251</v>
      </c>
      <c r="C1" s="136"/>
      <c r="G1" s="136" t="s">
        <v>252</v>
      </c>
      <c r="H1" s="136"/>
      <c r="L1" s="136" t="s">
        <v>253</v>
      </c>
      <c r="M1" s="136"/>
      <c r="Q1" s="137" t="s">
        <v>264</v>
      </c>
      <c r="R1" s="137"/>
    </row>
    <row r="2" spans="1:19" x14ac:dyDescent="0.2">
      <c r="A2" t="s">
        <v>29</v>
      </c>
      <c r="B2" s="17" t="s">
        <v>161</v>
      </c>
      <c r="C2" s="17" t="s">
        <v>254</v>
      </c>
      <c r="D2" t="s">
        <v>55</v>
      </c>
      <c r="F2" t="s">
        <v>29</v>
      </c>
      <c r="G2" s="17" t="s">
        <v>161</v>
      </c>
      <c r="H2" s="17" t="s">
        <v>254</v>
      </c>
      <c r="I2" t="s">
        <v>55</v>
      </c>
      <c r="K2" t="s">
        <v>29</v>
      </c>
      <c r="L2" t="s">
        <v>267</v>
      </c>
      <c r="M2" t="s">
        <v>254</v>
      </c>
      <c r="N2" t="s">
        <v>55</v>
      </c>
      <c r="P2" t="s">
        <v>29</v>
      </c>
      <c r="Q2" s="17" t="s">
        <v>161</v>
      </c>
      <c r="R2" s="17" t="s">
        <v>254</v>
      </c>
      <c r="S2" t="s">
        <v>55</v>
      </c>
    </row>
    <row r="3" spans="1:19" x14ac:dyDescent="0.2">
      <c r="B3">
        <f>(44+38+50)</f>
        <v>132</v>
      </c>
      <c r="C3">
        <f>(30+24+21)</f>
        <v>75</v>
      </c>
      <c r="D3">
        <f>B3+C3</f>
        <v>207</v>
      </c>
      <c r="G3">
        <v>52</v>
      </c>
      <c r="H3">
        <v>83</v>
      </c>
      <c r="I3">
        <f>G3+H3</f>
        <v>135</v>
      </c>
      <c r="L3">
        <v>80</v>
      </c>
      <c r="M3">
        <v>56</v>
      </c>
      <c r="N3">
        <f>L3+M3</f>
        <v>136</v>
      </c>
      <c r="Q3">
        <f>AVERAGE(G3,G16,G29)</f>
        <v>81</v>
      </c>
      <c r="R3">
        <f>AVERAGE(H3,H16,H29)</f>
        <v>105.66666666666667</v>
      </c>
      <c r="S3">
        <f>Q3+R3</f>
        <v>186.66666666666669</v>
      </c>
    </row>
    <row r="4" spans="1:19" x14ac:dyDescent="0.2">
      <c r="A4" t="s">
        <v>156</v>
      </c>
      <c r="B4">
        <f>(B3/D3)*100</f>
        <v>63.768115942028977</v>
      </c>
      <c r="C4">
        <f>(C3/D3)*100</f>
        <v>36.231884057971016</v>
      </c>
      <c r="F4" t="s">
        <v>156</v>
      </c>
      <c r="G4">
        <f>(G3/I3)*100</f>
        <v>38.518518518518519</v>
      </c>
      <c r="H4">
        <f>(H3/I3)*100</f>
        <v>61.481481481481481</v>
      </c>
      <c r="K4" t="s">
        <v>156</v>
      </c>
      <c r="L4">
        <f>(L3/N3)*100</f>
        <v>58.82352941176471</v>
      </c>
      <c r="M4">
        <f>(M3/N3)*100</f>
        <v>41.17647058823529</v>
      </c>
      <c r="P4" t="s">
        <v>156</v>
      </c>
      <c r="Q4">
        <f>(Q3/S3)*100</f>
        <v>43.392857142857139</v>
      </c>
      <c r="R4">
        <f>(R3/S3)*100</f>
        <v>56.607142857142854</v>
      </c>
    </row>
    <row r="6" spans="1:19" x14ac:dyDescent="0.2">
      <c r="A6" t="s">
        <v>28</v>
      </c>
      <c r="B6" s="17" t="s">
        <v>161</v>
      </c>
      <c r="C6" s="17" t="s">
        <v>254</v>
      </c>
      <c r="D6" t="s">
        <v>55</v>
      </c>
      <c r="F6" t="s">
        <v>28</v>
      </c>
      <c r="G6" s="17" t="s">
        <v>161</v>
      </c>
      <c r="H6" s="17" t="s">
        <v>254</v>
      </c>
      <c r="I6" t="s">
        <v>55</v>
      </c>
      <c r="K6" t="s">
        <v>28</v>
      </c>
      <c r="L6" s="17" t="s">
        <v>161</v>
      </c>
      <c r="M6" s="17" t="s">
        <v>254</v>
      </c>
      <c r="N6" t="s">
        <v>55</v>
      </c>
      <c r="P6" t="s">
        <v>28</v>
      </c>
      <c r="Q6" s="17" t="s">
        <v>161</v>
      </c>
      <c r="R6" s="17" t="s">
        <v>254</v>
      </c>
      <c r="S6" t="s">
        <v>55</v>
      </c>
    </row>
    <row r="7" spans="1:19" x14ac:dyDescent="0.2">
      <c r="B7">
        <v>88</v>
      </c>
      <c r="C7">
        <v>43</v>
      </c>
      <c r="D7">
        <f>(B7+C7)</f>
        <v>131</v>
      </c>
      <c r="G7">
        <v>71</v>
      </c>
      <c r="H7">
        <v>57</v>
      </c>
      <c r="I7">
        <f>(G7+H7)</f>
        <v>128</v>
      </c>
      <c r="L7">
        <v>105</v>
      </c>
      <c r="M7">
        <v>28</v>
      </c>
      <c r="N7">
        <f>(L7+M7)</f>
        <v>133</v>
      </c>
      <c r="Q7">
        <f>AVERAGE(G7,G20,G33)</f>
        <v>109.66666666666667</v>
      </c>
      <c r="R7">
        <f>AVERAGE(H7,H20,H33)</f>
        <v>85.666666666666671</v>
      </c>
      <c r="S7">
        <f>(Q7+R7)</f>
        <v>195.33333333333334</v>
      </c>
    </row>
    <row r="8" spans="1:19" x14ac:dyDescent="0.2">
      <c r="A8" t="s">
        <v>156</v>
      </c>
      <c r="B8">
        <f>(B7/D7)*100</f>
        <v>67.175572519083971</v>
      </c>
      <c r="C8">
        <f>(C7/D7)*100</f>
        <v>32.824427480916029</v>
      </c>
      <c r="F8" t="s">
        <v>156</v>
      </c>
      <c r="G8">
        <f>(G7/I7)*100</f>
        <v>55.46875</v>
      </c>
      <c r="H8">
        <f>(H7/I7)*100</f>
        <v>44.53125</v>
      </c>
      <c r="K8" t="s">
        <v>156</v>
      </c>
      <c r="L8">
        <f>(L7/N7)*100</f>
        <v>78.94736842105263</v>
      </c>
      <c r="M8">
        <f>(M7/N7)*100</f>
        <v>21.052631578947366</v>
      </c>
      <c r="P8" t="s">
        <v>156</v>
      </c>
      <c r="Q8">
        <f>(Q7/S7)*100</f>
        <v>56.143344709897612</v>
      </c>
      <c r="R8">
        <f>(R7/S7)*100</f>
        <v>43.856655290102395</v>
      </c>
    </row>
    <row r="10" spans="1:19" x14ac:dyDescent="0.2">
      <c r="A10" t="s">
        <v>30</v>
      </c>
      <c r="B10" s="17" t="s">
        <v>161</v>
      </c>
      <c r="C10" s="17" t="s">
        <v>254</v>
      </c>
      <c r="D10" t="s">
        <v>55</v>
      </c>
      <c r="F10" t="s">
        <v>30</v>
      </c>
      <c r="G10" s="17" t="s">
        <v>161</v>
      </c>
      <c r="H10" s="17" t="s">
        <v>254</v>
      </c>
      <c r="I10" t="s">
        <v>55</v>
      </c>
      <c r="K10" t="s">
        <v>30</v>
      </c>
      <c r="L10" s="17" t="s">
        <v>161</v>
      </c>
      <c r="M10" s="17" t="s">
        <v>254</v>
      </c>
      <c r="N10" t="s">
        <v>55</v>
      </c>
      <c r="P10" t="s">
        <v>30</v>
      </c>
      <c r="Q10" s="17" t="s">
        <v>161</v>
      </c>
      <c r="R10" s="17" t="s">
        <v>254</v>
      </c>
      <c r="S10" t="s">
        <v>55</v>
      </c>
    </row>
    <row r="11" spans="1:19" x14ac:dyDescent="0.2">
      <c r="B11">
        <v>65</v>
      </c>
      <c r="C11">
        <v>54</v>
      </c>
      <c r="D11">
        <f>(B11+C11)</f>
        <v>119</v>
      </c>
      <c r="G11">
        <v>74</v>
      </c>
      <c r="H11">
        <v>102</v>
      </c>
      <c r="I11">
        <f>(G11+H11)</f>
        <v>176</v>
      </c>
      <c r="L11">
        <v>55</v>
      </c>
      <c r="M11">
        <v>47</v>
      </c>
      <c r="N11">
        <f>(L11+M11)</f>
        <v>102</v>
      </c>
      <c r="Q11">
        <f>AVERAGE(G11,G24,G37)</f>
        <v>90</v>
      </c>
      <c r="R11">
        <f>AVERAGE(H11,H24,H37)</f>
        <v>120.33333333333333</v>
      </c>
      <c r="S11">
        <f>(Q11+R11)</f>
        <v>210.33333333333331</v>
      </c>
    </row>
    <row r="12" spans="1:19" x14ac:dyDescent="0.2">
      <c r="A12" t="s">
        <v>156</v>
      </c>
      <c r="B12">
        <f>(B11/D11)*100</f>
        <v>54.621848739495796</v>
      </c>
      <c r="C12">
        <f>(C11/D11)*100</f>
        <v>45.378151260504204</v>
      </c>
      <c r="F12" t="s">
        <v>156</v>
      </c>
      <c r="G12">
        <f>(G11/I11)*100</f>
        <v>42.045454545454547</v>
      </c>
      <c r="H12">
        <f>(H11/I11)*100</f>
        <v>57.95454545454546</v>
      </c>
      <c r="K12" t="s">
        <v>156</v>
      </c>
      <c r="L12">
        <f>(L11/N11)*100</f>
        <v>53.921568627450981</v>
      </c>
      <c r="M12">
        <f>(M11/N11)*100</f>
        <v>46.078431372549019</v>
      </c>
      <c r="P12" t="s">
        <v>156</v>
      </c>
      <c r="Q12">
        <f>(Q11/S11)*100</f>
        <v>42.789223454833603</v>
      </c>
      <c r="R12">
        <f>(R11/S11)*100</f>
        <v>57.210776545166411</v>
      </c>
    </row>
    <row r="14" spans="1:19" x14ac:dyDescent="0.2">
      <c r="B14" s="136" t="s">
        <v>255</v>
      </c>
      <c r="C14" s="136"/>
      <c r="G14" s="136" t="s">
        <v>256</v>
      </c>
      <c r="H14" s="136"/>
      <c r="L14" s="136" t="s">
        <v>257</v>
      </c>
      <c r="M14" s="136"/>
      <c r="Q14" s="137" t="s">
        <v>265</v>
      </c>
      <c r="R14" s="137"/>
    </row>
    <row r="15" spans="1:19" x14ac:dyDescent="0.2">
      <c r="A15" t="s">
        <v>29</v>
      </c>
      <c r="B15" s="17" t="s">
        <v>161</v>
      </c>
      <c r="C15" s="17" t="s">
        <v>254</v>
      </c>
      <c r="D15" t="s">
        <v>55</v>
      </c>
      <c r="F15" t="s">
        <v>29</v>
      </c>
      <c r="G15" s="17" t="s">
        <v>161</v>
      </c>
      <c r="H15" s="17" t="s">
        <v>254</v>
      </c>
      <c r="I15" t="s">
        <v>55</v>
      </c>
      <c r="K15" t="s">
        <v>29</v>
      </c>
      <c r="L15" t="s">
        <v>161</v>
      </c>
      <c r="M15" t="s">
        <v>254</v>
      </c>
      <c r="N15" t="s">
        <v>55</v>
      </c>
      <c r="P15" t="s">
        <v>29</v>
      </c>
      <c r="Q15" t="s">
        <v>161</v>
      </c>
      <c r="R15" t="s">
        <v>254</v>
      </c>
      <c r="S15" t="s">
        <v>55</v>
      </c>
    </row>
    <row r="16" spans="1:19" x14ac:dyDescent="0.2">
      <c r="B16">
        <v>61</v>
      </c>
      <c r="C16">
        <v>20</v>
      </c>
      <c r="D16">
        <f>B16+C16</f>
        <v>81</v>
      </c>
      <c r="G16">
        <f>(25+35)</f>
        <v>60</v>
      </c>
      <c r="H16">
        <f>46+38</f>
        <v>84</v>
      </c>
      <c r="I16">
        <f>G16+H16</f>
        <v>144</v>
      </c>
      <c r="L16">
        <v>123</v>
      </c>
      <c r="M16">
        <v>108</v>
      </c>
      <c r="N16">
        <f>L16+M16</f>
        <v>231</v>
      </c>
      <c r="Q16">
        <f>AVERAGE(L3,L16,L29)</f>
        <v>91</v>
      </c>
      <c r="R16">
        <f>AVERAGE(M3,M16,M29)</f>
        <v>71</v>
      </c>
      <c r="S16">
        <f>Q16+R16</f>
        <v>162</v>
      </c>
    </row>
    <row r="17" spans="1:19" x14ac:dyDescent="0.2">
      <c r="A17" t="s">
        <v>156</v>
      </c>
      <c r="B17">
        <f>(B16/D16)*100</f>
        <v>75.308641975308646</v>
      </c>
      <c r="C17">
        <f>(C16/D16)*100</f>
        <v>24.691358024691358</v>
      </c>
      <c r="F17" t="s">
        <v>156</v>
      </c>
      <c r="G17">
        <f>(G16/I16)*100</f>
        <v>41.666666666666671</v>
      </c>
      <c r="H17">
        <f>(H16/I16)*100</f>
        <v>58.333333333333336</v>
      </c>
      <c r="K17" t="s">
        <v>156</v>
      </c>
      <c r="L17">
        <f>(L16/N16)*100</f>
        <v>53.246753246753244</v>
      </c>
      <c r="M17">
        <f>(M16/N16)*100</f>
        <v>46.753246753246749</v>
      </c>
      <c r="P17" t="s">
        <v>156</v>
      </c>
      <c r="Q17">
        <f>(Q16/S16)*100</f>
        <v>56.172839506172842</v>
      </c>
      <c r="R17">
        <f>(R16/S16)*100</f>
        <v>43.827160493827158</v>
      </c>
    </row>
    <row r="19" spans="1:19" x14ac:dyDescent="0.2">
      <c r="A19" t="s">
        <v>28</v>
      </c>
      <c r="B19" s="17" t="s">
        <v>161</v>
      </c>
      <c r="C19" s="17" t="s">
        <v>254</v>
      </c>
      <c r="D19" t="s">
        <v>55</v>
      </c>
      <c r="F19" t="s">
        <v>28</v>
      </c>
      <c r="G19" t="s">
        <v>161</v>
      </c>
      <c r="H19" t="s">
        <v>254</v>
      </c>
      <c r="I19" t="s">
        <v>55</v>
      </c>
      <c r="K19" t="s">
        <v>28</v>
      </c>
      <c r="L19" t="s">
        <v>161</v>
      </c>
      <c r="M19" t="s">
        <v>254</v>
      </c>
      <c r="N19" t="s">
        <v>55</v>
      </c>
      <c r="P19" t="s">
        <v>28</v>
      </c>
      <c r="Q19" t="s">
        <v>161</v>
      </c>
      <c r="R19" t="s">
        <v>254</v>
      </c>
      <c r="S19" t="s">
        <v>55</v>
      </c>
    </row>
    <row r="20" spans="1:19" x14ac:dyDescent="0.2">
      <c r="B20">
        <v>104</v>
      </c>
      <c r="C20">
        <v>35</v>
      </c>
      <c r="D20">
        <f>(B20+C20)</f>
        <v>139</v>
      </c>
      <c r="G20">
        <v>164</v>
      </c>
      <c r="H20">
        <v>100</v>
      </c>
      <c r="I20">
        <f>(G20+H20)</f>
        <v>264</v>
      </c>
      <c r="L20">
        <v>117</v>
      </c>
      <c r="M20">
        <v>76</v>
      </c>
      <c r="N20">
        <f>(L20+M20)</f>
        <v>193</v>
      </c>
      <c r="Q20">
        <f>AVERAGE(L7,L20,L33)</f>
        <v>95</v>
      </c>
      <c r="R20">
        <f>AVERAGE(M7,M20,M33)</f>
        <v>43.666666666666664</v>
      </c>
      <c r="S20">
        <f>(Q20+R20)</f>
        <v>138.66666666666666</v>
      </c>
    </row>
    <row r="21" spans="1:19" x14ac:dyDescent="0.2">
      <c r="A21" t="s">
        <v>156</v>
      </c>
      <c r="B21">
        <f>(B20/D20)*100</f>
        <v>74.82014388489209</v>
      </c>
      <c r="C21">
        <f>(C20/D20)*100</f>
        <v>25.179856115107913</v>
      </c>
      <c r="F21" t="s">
        <v>156</v>
      </c>
      <c r="G21">
        <f>(G20/I20)*100</f>
        <v>62.121212121212125</v>
      </c>
      <c r="H21">
        <f>(H20/I20)*100</f>
        <v>37.878787878787875</v>
      </c>
      <c r="K21" t="s">
        <v>156</v>
      </c>
      <c r="L21">
        <f>(L20/N20)*100</f>
        <v>60.62176165803109</v>
      </c>
      <c r="M21">
        <f>(M20/N20)*100</f>
        <v>39.37823834196891</v>
      </c>
      <c r="P21" t="s">
        <v>156</v>
      </c>
      <c r="Q21">
        <f>(Q20/S20)*100</f>
        <v>68.509615384615387</v>
      </c>
      <c r="R21">
        <f>(R20/S20)*100</f>
        <v>31.490384615384613</v>
      </c>
    </row>
    <row r="23" spans="1:19" x14ac:dyDescent="0.2">
      <c r="A23" t="s">
        <v>30</v>
      </c>
      <c r="B23" s="17" t="s">
        <v>161</v>
      </c>
      <c r="C23" s="17" t="s">
        <v>254</v>
      </c>
      <c r="D23" t="s">
        <v>55</v>
      </c>
      <c r="F23" t="s">
        <v>30</v>
      </c>
      <c r="G23" t="s">
        <v>161</v>
      </c>
      <c r="H23" t="s">
        <v>254</v>
      </c>
      <c r="I23" t="s">
        <v>55</v>
      </c>
      <c r="K23" t="s">
        <v>30</v>
      </c>
      <c r="L23" t="s">
        <v>161</v>
      </c>
      <c r="M23" t="s">
        <v>254</v>
      </c>
      <c r="N23" t="s">
        <v>55</v>
      </c>
      <c r="P23" t="s">
        <v>30</v>
      </c>
      <c r="Q23" t="s">
        <v>161</v>
      </c>
      <c r="R23" t="s">
        <v>254</v>
      </c>
      <c r="S23" t="s">
        <v>55</v>
      </c>
    </row>
    <row r="24" spans="1:19" x14ac:dyDescent="0.2">
      <c r="B24">
        <f>39+55+33</f>
        <v>127</v>
      </c>
      <c r="C24">
        <f>25+28+42</f>
        <v>95</v>
      </c>
      <c r="D24">
        <f>(B24+C24)</f>
        <v>222</v>
      </c>
      <c r="G24">
        <f>63+66</f>
        <v>129</v>
      </c>
      <c r="H24">
        <f>81+89</f>
        <v>170</v>
      </c>
      <c r="I24">
        <f>(G24+H24)</f>
        <v>299</v>
      </c>
      <c r="L24">
        <v>86</v>
      </c>
      <c r="M24">
        <v>47</v>
      </c>
      <c r="N24">
        <f>(L24+M24)</f>
        <v>133</v>
      </c>
      <c r="Q24">
        <f>AVERAGE(L11,L24,L37)</f>
        <v>64.666666666666671</v>
      </c>
      <c r="R24">
        <f>AVERAGE(M11,M24,M37)</f>
        <v>43.333333333333336</v>
      </c>
      <c r="S24">
        <f>(Q24+R24)</f>
        <v>108</v>
      </c>
    </row>
    <row r="25" spans="1:19" x14ac:dyDescent="0.2">
      <c r="A25" t="s">
        <v>156</v>
      </c>
      <c r="B25">
        <f>(B24/D24)*100</f>
        <v>57.207207207207212</v>
      </c>
      <c r="C25">
        <f>(C24/D24)*100</f>
        <v>42.792792792792795</v>
      </c>
      <c r="F25" t="s">
        <v>156</v>
      </c>
      <c r="G25">
        <f>(G24/I24)*100</f>
        <v>43.143812709030101</v>
      </c>
      <c r="H25">
        <f>(H24/I24)*100</f>
        <v>56.856187290969892</v>
      </c>
      <c r="K25" t="s">
        <v>156</v>
      </c>
      <c r="L25">
        <f>(L24/N24)*100</f>
        <v>64.661654135338338</v>
      </c>
      <c r="M25">
        <f>(M24/N24)*100</f>
        <v>35.338345864661655</v>
      </c>
      <c r="P25" t="s">
        <v>156</v>
      </c>
      <c r="Q25">
        <f>(Q24/S24)*100</f>
        <v>59.876543209876544</v>
      </c>
      <c r="R25">
        <f>(R24/S24)*100</f>
        <v>40.123456790123456</v>
      </c>
    </row>
    <row r="27" spans="1:19" x14ac:dyDescent="0.2">
      <c r="B27" s="136" t="s">
        <v>258</v>
      </c>
      <c r="C27" s="136"/>
      <c r="G27" s="136" t="s">
        <v>259</v>
      </c>
      <c r="H27" s="136"/>
      <c r="L27" s="136" t="s">
        <v>260</v>
      </c>
      <c r="M27" s="136"/>
      <c r="Q27" s="137" t="s">
        <v>266</v>
      </c>
      <c r="R27" s="137"/>
    </row>
    <row r="28" spans="1:19" x14ac:dyDescent="0.2">
      <c r="A28" t="s">
        <v>29</v>
      </c>
      <c r="B28" t="s">
        <v>161</v>
      </c>
      <c r="C28" t="s">
        <v>254</v>
      </c>
      <c r="D28" t="s">
        <v>55</v>
      </c>
      <c r="F28" t="s">
        <v>29</v>
      </c>
      <c r="G28" t="s">
        <v>161</v>
      </c>
      <c r="H28" t="s">
        <v>254</v>
      </c>
      <c r="I28" t="s">
        <v>55</v>
      </c>
      <c r="K28" t="s">
        <v>29</v>
      </c>
      <c r="L28" t="s">
        <v>161</v>
      </c>
      <c r="M28" t="s">
        <v>254</v>
      </c>
      <c r="N28" t="s">
        <v>55</v>
      </c>
      <c r="P28" t="s">
        <v>29</v>
      </c>
      <c r="Q28" t="s">
        <v>161</v>
      </c>
      <c r="R28" t="s">
        <v>254</v>
      </c>
      <c r="S28" t="s">
        <v>55</v>
      </c>
    </row>
    <row r="29" spans="1:19" x14ac:dyDescent="0.2">
      <c r="B29">
        <v>96</v>
      </c>
      <c r="C29">
        <v>87</v>
      </c>
      <c r="D29">
        <f>B29+C29</f>
        <v>183</v>
      </c>
      <c r="G29">
        <f>60+71</f>
        <v>131</v>
      </c>
      <c r="H29">
        <f>76+74</f>
        <v>150</v>
      </c>
      <c r="I29">
        <f>G29+H29</f>
        <v>281</v>
      </c>
      <c r="L29">
        <v>70</v>
      </c>
      <c r="M29">
        <v>49</v>
      </c>
      <c r="N29">
        <f>L29+M29</f>
        <v>119</v>
      </c>
      <c r="Q29">
        <f>AVERAGE(B3,B16,B29)</f>
        <v>96.333333333333329</v>
      </c>
      <c r="R29">
        <f>AVERAGE(C3,C16,C29)</f>
        <v>60.666666666666664</v>
      </c>
      <c r="S29">
        <f>Q29+R29</f>
        <v>157</v>
      </c>
    </row>
    <row r="30" spans="1:19" x14ac:dyDescent="0.2">
      <c r="A30" t="s">
        <v>156</v>
      </c>
      <c r="B30">
        <f>(B29/D29)*100</f>
        <v>52.459016393442624</v>
      </c>
      <c r="C30">
        <f>(C29/D29)*100</f>
        <v>47.540983606557376</v>
      </c>
      <c r="F30" t="s">
        <v>156</v>
      </c>
      <c r="G30">
        <f>(G29/I29)*100</f>
        <v>46.619217081850536</v>
      </c>
      <c r="H30">
        <f>(H29/I29)*100</f>
        <v>53.380782918149464</v>
      </c>
      <c r="K30" t="s">
        <v>156</v>
      </c>
      <c r="L30">
        <f>(L29/N29)*100</f>
        <v>58.82352941176471</v>
      </c>
      <c r="M30">
        <f>(M29/N29)*100</f>
        <v>41.17647058823529</v>
      </c>
      <c r="P30" t="s">
        <v>156</v>
      </c>
      <c r="Q30">
        <f>(Q29/S29)*100</f>
        <v>61.358811040339702</v>
      </c>
      <c r="R30">
        <f>(R29/S29)*100</f>
        <v>38.641188959660298</v>
      </c>
    </row>
    <row r="32" spans="1:19" x14ac:dyDescent="0.2">
      <c r="A32" t="s">
        <v>28</v>
      </c>
      <c r="B32" t="s">
        <v>161</v>
      </c>
      <c r="C32" t="s">
        <v>254</v>
      </c>
      <c r="D32" t="s">
        <v>55</v>
      </c>
      <c r="F32" t="s">
        <v>28</v>
      </c>
      <c r="G32" t="s">
        <v>161</v>
      </c>
      <c r="H32" t="s">
        <v>254</v>
      </c>
      <c r="I32" t="s">
        <v>55</v>
      </c>
      <c r="K32" t="s">
        <v>28</v>
      </c>
      <c r="L32" t="s">
        <v>161</v>
      </c>
      <c r="M32" t="s">
        <v>254</v>
      </c>
      <c r="N32" t="s">
        <v>55</v>
      </c>
      <c r="P32" t="s">
        <v>28</v>
      </c>
      <c r="Q32" t="s">
        <v>161</v>
      </c>
      <c r="R32" t="s">
        <v>254</v>
      </c>
      <c r="S32" t="s">
        <v>55</v>
      </c>
    </row>
    <row r="33" spans="1:24" x14ac:dyDescent="0.2">
      <c r="B33">
        <v>70</v>
      </c>
      <c r="C33">
        <v>33</v>
      </c>
      <c r="D33">
        <f>(B33+C33)</f>
        <v>103</v>
      </c>
      <c r="G33">
        <f>57+37</f>
        <v>94</v>
      </c>
      <c r="H33">
        <v>100</v>
      </c>
      <c r="I33">
        <f>(G33+H33)</f>
        <v>194</v>
      </c>
      <c r="L33">
        <v>63</v>
      </c>
      <c r="M33">
        <v>27</v>
      </c>
      <c r="N33">
        <f>(L33+M33)</f>
        <v>90</v>
      </c>
      <c r="Q33">
        <f>AVERAGE(B7,B20,B33)</f>
        <v>87.333333333333329</v>
      </c>
      <c r="R33">
        <f>AVERAGE(C7,C20,C33)</f>
        <v>37</v>
      </c>
      <c r="S33">
        <f>(Q33+R33)</f>
        <v>124.33333333333333</v>
      </c>
    </row>
    <row r="34" spans="1:24" x14ac:dyDescent="0.2">
      <c r="A34" t="s">
        <v>156</v>
      </c>
      <c r="B34">
        <f>(B33/D33)*100</f>
        <v>67.961165048543691</v>
      </c>
      <c r="C34">
        <f>(C33/D33)*100</f>
        <v>32.038834951456316</v>
      </c>
      <c r="F34" t="s">
        <v>156</v>
      </c>
      <c r="G34">
        <f>(G33/I33)*100</f>
        <v>48.453608247422679</v>
      </c>
      <c r="H34">
        <f>(H33/I33)*100</f>
        <v>51.546391752577314</v>
      </c>
      <c r="K34" t="s">
        <v>156</v>
      </c>
      <c r="L34">
        <f>(L33/N33)*100</f>
        <v>70</v>
      </c>
      <c r="M34">
        <f>(M33/N33)*100</f>
        <v>30</v>
      </c>
      <c r="P34" t="s">
        <v>156</v>
      </c>
      <c r="Q34">
        <f>(Q33/S33)*100</f>
        <v>70.241286863270773</v>
      </c>
      <c r="R34">
        <f>(R33/S33)*100</f>
        <v>29.758713136729227</v>
      </c>
    </row>
    <row r="36" spans="1:24" x14ac:dyDescent="0.2">
      <c r="A36" t="s">
        <v>30</v>
      </c>
      <c r="B36" t="s">
        <v>161</v>
      </c>
      <c r="C36" t="s">
        <v>254</v>
      </c>
      <c r="D36" t="s">
        <v>55</v>
      </c>
      <c r="F36" t="s">
        <v>30</v>
      </c>
      <c r="G36" t="s">
        <v>161</v>
      </c>
      <c r="H36" t="s">
        <v>254</v>
      </c>
      <c r="I36" t="s">
        <v>55</v>
      </c>
      <c r="K36" t="s">
        <v>30</v>
      </c>
      <c r="L36" t="s">
        <v>161</v>
      </c>
      <c r="M36" t="s">
        <v>254</v>
      </c>
      <c r="N36" t="s">
        <v>55</v>
      </c>
      <c r="P36" t="s">
        <v>30</v>
      </c>
      <c r="Q36" t="s">
        <v>161</v>
      </c>
      <c r="R36" t="s">
        <v>254</v>
      </c>
      <c r="S36" t="s">
        <v>55</v>
      </c>
    </row>
    <row r="37" spans="1:24" x14ac:dyDescent="0.2">
      <c r="B37">
        <v>67</v>
      </c>
      <c r="C37">
        <v>60</v>
      </c>
      <c r="D37">
        <f>(B37+C37)</f>
        <v>127</v>
      </c>
      <c r="G37">
        <v>67</v>
      </c>
      <c r="H37">
        <v>89</v>
      </c>
      <c r="I37">
        <f>(G37+H37)</f>
        <v>156</v>
      </c>
      <c r="L37">
        <v>53</v>
      </c>
      <c r="M37">
        <v>36</v>
      </c>
      <c r="N37">
        <f>(L37+M37)</f>
        <v>89</v>
      </c>
      <c r="Q37">
        <f>AVERAGE(B11,B24,B37)</f>
        <v>86.333333333333329</v>
      </c>
      <c r="R37">
        <f>AVERAGE(C11,C24,C37)</f>
        <v>69.666666666666671</v>
      </c>
      <c r="S37">
        <f>(Q37+R37)</f>
        <v>156</v>
      </c>
    </row>
    <row r="38" spans="1:24" x14ac:dyDescent="0.2">
      <c r="A38" t="s">
        <v>156</v>
      </c>
      <c r="B38">
        <f>(B37/D37)*100</f>
        <v>52.755905511811022</v>
      </c>
      <c r="C38">
        <f>(C37/D37)*100</f>
        <v>47.244094488188978</v>
      </c>
      <c r="F38" t="s">
        <v>156</v>
      </c>
      <c r="G38">
        <f>(G37/I37)*100</f>
        <v>42.948717948717949</v>
      </c>
      <c r="H38">
        <f>(H37/I37)*100</f>
        <v>57.051282051282051</v>
      </c>
      <c r="K38" t="s">
        <v>156</v>
      </c>
      <c r="L38">
        <f>(L37/N37)*100</f>
        <v>59.550561797752813</v>
      </c>
      <c r="M38">
        <f>(M37/N37)*100</f>
        <v>40.449438202247187</v>
      </c>
      <c r="P38" t="s">
        <v>156</v>
      </c>
      <c r="Q38">
        <f>(Q37/S37)*100</f>
        <v>55.341880341880334</v>
      </c>
      <c r="R38">
        <f>(R37/S37)*100</f>
        <v>44.658119658119659</v>
      </c>
    </row>
    <row r="40" spans="1:24" x14ac:dyDescent="0.2">
      <c r="W40" s="114" t="s">
        <v>409</v>
      </c>
      <c r="X40" s="114"/>
    </row>
    <row r="41" spans="1:24" x14ac:dyDescent="0.2">
      <c r="A41" t="s">
        <v>31</v>
      </c>
      <c r="D41" s="110" t="s">
        <v>268</v>
      </c>
      <c r="E41" s="110"/>
      <c r="I41" t="s">
        <v>31</v>
      </c>
      <c r="L41" s="110" t="s">
        <v>271</v>
      </c>
      <c r="M41" s="110"/>
      <c r="Q41" t="s">
        <v>31</v>
      </c>
      <c r="T41" s="82" t="s">
        <v>272</v>
      </c>
      <c r="U41" s="82"/>
      <c r="W41" s="167" t="s">
        <v>54</v>
      </c>
      <c r="X41" s="167"/>
    </row>
    <row r="43" spans="1:24" ht="16" thickBot="1" x14ac:dyDescent="0.25">
      <c r="A43" t="s">
        <v>34</v>
      </c>
      <c r="I43" t="s">
        <v>34</v>
      </c>
      <c r="Q43" t="s">
        <v>34</v>
      </c>
    </row>
    <row r="44" spans="1:24" x14ac:dyDescent="0.2">
      <c r="A44" s="3" t="s">
        <v>35</v>
      </c>
      <c r="B44" s="3" t="s">
        <v>36</v>
      </c>
      <c r="C44" s="3" t="s">
        <v>37</v>
      </c>
      <c r="D44" s="3" t="s">
        <v>38</v>
      </c>
      <c r="E44" s="3" t="s">
        <v>39</v>
      </c>
      <c r="I44" s="3" t="s">
        <v>35</v>
      </c>
      <c r="J44" s="3" t="s">
        <v>36</v>
      </c>
      <c r="K44" s="3" t="s">
        <v>37</v>
      </c>
      <c r="L44" s="3" t="s">
        <v>38</v>
      </c>
      <c r="M44" s="3" t="s">
        <v>39</v>
      </c>
      <c r="Q44" s="3" t="s">
        <v>35</v>
      </c>
      <c r="R44" s="3" t="s">
        <v>36</v>
      </c>
      <c r="S44" s="3" t="s">
        <v>37</v>
      </c>
      <c r="T44" s="3" t="s">
        <v>38</v>
      </c>
      <c r="U44" s="3" t="s">
        <v>39</v>
      </c>
    </row>
    <row r="45" spans="1:24" x14ac:dyDescent="0.2">
      <c r="A45" t="s">
        <v>261</v>
      </c>
      <c r="B45">
        <v>3</v>
      </c>
      <c r="C45">
        <v>191.52</v>
      </c>
      <c r="D45">
        <v>63.84</v>
      </c>
      <c r="E45">
        <v>130.42119999999977</v>
      </c>
      <c r="I45" t="s">
        <v>261</v>
      </c>
      <c r="J45">
        <v>3</v>
      </c>
      <c r="K45">
        <v>209.79999999999998</v>
      </c>
      <c r="L45">
        <v>69.933333333333323</v>
      </c>
      <c r="M45">
        <v>17.923333333333325</v>
      </c>
      <c r="Q45" t="s">
        <v>261</v>
      </c>
      <c r="R45">
        <v>3</v>
      </c>
      <c r="S45">
        <v>164.5</v>
      </c>
      <c r="T45">
        <v>54.833333333333336</v>
      </c>
      <c r="U45">
        <v>5.1033333333333335</v>
      </c>
    </row>
    <row r="46" spans="1:24" ht="16" thickBot="1" x14ac:dyDescent="0.25">
      <c r="A46" s="4" t="s">
        <v>262</v>
      </c>
      <c r="B46" s="4">
        <v>3</v>
      </c>
      <c r="C46" s="4">
        <v>126.69999999999999</v>
      </c>
      <c r="D46" s="4">
        <v>42.233333333333327</v>
      </c>
      <c r="E46" s="4">
        <v>16.70333333333334</v>
      </c>
      <c r="I46" s="4" t="s">
        <v>262</v>
      </c>
      <c r="J46" s="4">
        <v>3</v>
      </c>
      <c r="K46" s="4">
        <v>162.9</v>
      </c>
      <c r="L46" s="4">
        <v>54.300000000000004</v>
      </c>
      <c r="M46" s="4">
        <v>70.6299999999992</v>
      </c>
      <c r="Q46" s="4" t="s">
        <v>262</v>
      </c>
      <c r="R46" s="4">
        <v>3</v>
      </c>
      <c r="S46" s="4">
        <v>127.9</v>
      </c>
      <c r="T46" s="4">
        <v>42.633333333333333</v>
      </c>
      <c r="U46" s="4">
        <v>0.30333333333333296</v>
      </c>
    </row>
    <row r="49" spans="1:23" ht="16" thickBot="1" x14ac:dyDescent="0.25">
      <c r="A49" t="s">
        <v>44</v>
      </c>
      <c r="I49" t="s">
        <v>44</v>
      </c>
      <c r="Q49" t="s">
        <v>44</v>
      </c>
    </row>
    <row r="50" spans="1:23" x14ac:dyDescent="0.2">
      <c r="A50" s="3" t="s">
        <v>45</v>
      </c>
      <c r="B50" s="3" t="s">
        <v>46</v>
      </c>
      <c r="C50" s="3" t="s">
        <v>47</v>
      </c>
      <c r="D50" s="3" t="s">
        <v>48</v>
      </c>
      <c r="E50" s="3" t="s">
        <v>49</v>
      </c>
      <c r="F50" s="3" t="s">
        <v>50</v>
      </c>
      <c r="G50" s="3" t="s">
        <v>51</v>
      </c>
      <c r="I50" s="3" t="s">
        <v>45</v>
      </c>
      <c r="J50" s="3" t="s">
        <v>46</v>
      </c>
      <c r="K50" s="3" t="s">
        <v>47</v>
      </c>
      <c r="L50" s="3" t="s">
        <v>48</v>
      </c>
      <c r="M50" s="3" t="s">
        <v>49</v>
      </c>
      <c r="N50" s="3" t="s">
        <v>50</v>
      </c>
      <c r="O50" s="3" t="s">
        <v>51</v>
      </c>
      <c r="Q50" s="3" t="s">
        <v>45</v>
      </c>
      <c r="R50" s="3" t="s">
        <v>46</v>
      </c>
      <c r="S50" s="3" t="s">
        <v>47</v>
      </c>
      <c r="T50" s="3" t="s">
        <v>48</v>
      </c>
      <c r="U50" s="3" t="s">
        <v>49</v>
      </c>
      <c r="V50" s="3" t="s">
        <v>50</v>
      </c>
      <c r="W50" s="3" t="s">
        <v>51</v>
      </c>
    </row>
    <row r="51" spans="1:23" x14ac:dyDescent="0.2">
      <c r="A51" t="s">
        <v>52</v>
      </c>
      <c r="B51">
        <v>700.27206666666643</v>
      </c>
      <c r="C51">
        <v>1</v>
      </c>
      <c r="D51">
        <v>700.27206666666643</v>
      </c>
      <c r="E51">
        <v>9.51944656408992</v>
      </c>
      <c r="F51">
        <v>3.673959312842516E-2</v>
      </c>
      <c r="G51">
        <v>7.708647422176786</v>
      </c>
      <c r="I51" t="s">
        <v>52</v>
      </c>
      <c r="J51">
        <v>366.60166666666657</v>
      </c>
      <c r="K51">
        <v>1</v>
      </c>
      <c r="L51">
        <v>366.60166666666657</v>
      </c>
      <c r="M51">
        <v>8.2797937212978976</v>
      </c>
      <c r="N51">
        <v>4.512816131517329E-2</v>
      </c>
      <c r="O51">
        <v>7.708647422176786</v>
      </c>
      <c r="Q51" t="s">
        <v>52</v>
      </c>
      <c r="R51">
        <v>223.2600000000001</v>
      </c>
      <c r="S51">
        <v>1</v>
      </c>
      <c r="T51">
        <v>223.2600000000001</v>
      </c>
      <c r="U51">
        <v>82.586929716399553</v>
      </c>
      <c r="V51">
        <v>8.1294239460055989E-4</v>
      </c>
      <c r="W51">
        <v>7.708647422176786</v>
      </c>
    </row>
    <row r="52" spans="1:23" x14ac:dyDescent="0.2">
      <c r="A52" t="s">
        <v>53</v>
      </c>
      <c r="B52">
        <v>294.24906666666664</v>
      </c>
      <c r="C52">
        <v>4</v>
      </c>
      <c r="D52">
        <v>73.562266666666659</v>
      </c>
      <c r="I52" t="s">
        <v>53</v>
      </c>
      <c r="J52">
        <v>177.10666666666668</v>
      </c>
      <c r="K52">
        <v>4</v>
      </c>
      <c r="L52">
        <v>44.276666666666671</v>
      </c>
      <c r="Q52" t="s">
        <v>53</v>
      </c>
      <c r="R52">
        <v>10.813333333333333</v>
      </c>
      <c r="S52">
        <v>4</v>
      </c>
      <c r="T52">
        <v>2.7033333333333331</v>
      </c>
    </row>
    <row r="54" spans="1:23" ht="16" thickBot="1" x14ac:dyDescent="0.25">
      <c r="A54" s="4" t="s">
        <v>55</v>
      </c>
      <c r="B54" s="4">
        <v>994.52113333333307</v>
      </c>
      <c r="C54" s="4">
        <v>5</v>
      </c>
      <c r="D54" s="4"/>
      <c r="E54" s="4"/>
      <c r="F54" s="4"/>
      <c r="G54" s="4"/>
      <c r="I54" s="4" t="s">
        <v>55</v>
      </c>
      <c r="J54" s="4">
        <v>543.70833333333326</v>
      </c>
      <c r="K54" s="4">
        <v>5</v>
      </c>
      <c r="L54" s="4"/>
      <c r="M54" s="4"/>
      <c r="N54" s="4"/>
      <c r="O54" s="4"/>
      <c r="Q54" s="4" t="s">
        <v>55</v>
      </c>
      <c r="R54" s="4">
        <v>234.07333333333344</v>
      </c>
      <c r="S54" s="4">
        <v>5</v>
      </c>
      <c r="T54" s="4"/>
      <c r="U54" s="4"/>
      <c r="V54" s="4"/>
      <c r="W54" s="4"/>
    </row>
    <row r="56" spans="1:23" x14ac:dyDescent="0.2">
      <c r="A56" t="s">
        <v>31</v>
      </c>
      <c r="D56" s="110" t="s">
        <v>269</v>
      </c>
      <c r="E56" s="110"/>
      <c r="I56" t="s">
        <v>31</v>
      </c>
      <c r="L56" s="110" t="s">
        <v>270</v>
      </c>
      <c r="M56" s="110"/>
      <c r="Q56" t="s">
        <v>31</v>
      </c>
      <c r="T56" s="127" t="s">
        <v>273</v>
      </c>
      <c r="U56" s="127"/>
    </row>
    <row r="58" spans="1:23" ht="16" thickBot="1" x14ac:dyDescent="0.25">
      <c r="A58" t="s">
        <v>34</v>
      </c>
      <c r="I58" t="s">
        <v>34</v>
      </c>
      <c r="Q58" t="s">
        <v>34</v>
      </c>
    </row>
    <row r="59" spans="1:23" x14ac:dyDescent="0.2">
      <c r="A59" s="3" t="s">
        <v>35</v>
      </c>
      <c r="B59" s="3" t="s">
        <v>36</v>
      </c>
      <c r="C59" s="3" t="s">
        <v>37</v>
      </c>
      <c r="D59" s="3" t="s">
        <v>38</v>
      </c>
      <c r="E59" s="3" t="s">
        <v>39</v>
      </c>
      <c r="I59" s="3" t="s">
        <v>35</v>
      </c>
      <c r="J59" s="3" t="s">
        <v>36</v>
      </c>
      <c r="K59" s="3" t="s">
        <v>37</v>
      </c>
      <c r="L59" s="3" t="s">
        <v>38</v>
      </c>
      <c r="M59" s="3" t="s">
        <v>39</v>
      </c>
      <c r="Q59" s="3" t="s">
        <v>35</v>
      </c>
      <c r="R59" s="3" t="s">
        <v>36</v>
      </c>
      <c r="S59" s="3" t="s">
        <v>37</v>
      </c>
      <c r="T59" s="3" t="s">
        <v>38</v>
      </c>
      <c r="U59" s="3" t="s">
        <v>39</v>
      </c>
    </row>
    <row r="60" spans="1:23" x14ac:dyDescent="0.2">
      <c r="A60" t="s">
        <v>261</v>
      </c>
      <c r="B60">
        <v>3</v>
      </c>
      <c r="C60">
        <v>191.52</v>
      </c>
      <c r="D60">
        <v>63.84</v>
      </c>
      <c r="E60">
        <v>130.42119999999977</v>
      </c>
      <c r="I60" t="s">
        <v>261</v>
      </c>
      <c r="J60">
        <v>3</v>
      </c>
      <c r="K60">
        <v>209.79999999999998</v>
      </c>
      <c r="L60">
        <v>69.933333333333323</v>
      </c>
      <c r="M60">
        <v>17.923333333333325</v>
      </c>
      <c r="Q60" t="s">
        <v>261</v>
      </c>
      <c r="R60">
        <v>3</v>
      </c>
      <c r="S60">
        <v>164.5</v>
      </c>
      <c r="T60">
        <v>54.833333333333336</v>
      </c>
      <c r="U60">
        <v>5.1033333333333335</v>
      </c>
    </row>
    <row r="61" spans="1:23" ht="16" thickBot="1" x14ac:dyDescent="0.25">
      <c r="A61" s="4" t="s">
        <v>263</v>
      </c>
      <c r="B61" s="4">
        <v>3</v>
      </c>
      <c r="C61" s="4">
        <v>170.2</v>
      </c>
      <c r="D61" s="4">
        <v>56.733333333333327</v>
      </c>
      <c r="E61" s="4">
        <v>9.4533333333333225</v>
      </c>
      <c r="I61" s="4" t="s">
        <v>263</v>
      </c>
      <c r="J61" s="4">
        <v>3</v>
      </c>
      <c r="K61" s="4">
        <v>209.5</v>
      </c>
      <c r="L61" s="4">
        <v>69.833333333333329</v>
      </c>
      <c r="M61" s="4">
        <v>83.743333333333794</v>
      </c>
      <c r="Q61" s="4" t="s">
        <v>263</v>
      </c>
      <c r="R61" s="4">
        <v>3</v>
      </c>
      <c r="S61" s="4">
        <v>178</v>
      </c>
      <c r="T61" s="4">
        <v>59.333333333333336</v>
      </c>
      <c r="U61" s="4">
        <v>28.643333333333313</v>
      </c>
    </row>
    <row r="64" spans="1:23" ht="16" thickBot="1" x14ac:dyDescent="0.25">
      <c r="A64" t="s">
        <v>44</v>
      </c>
      <c r="I64" t="s">
        <v>44</v>
      </c>
      <c r="Q64" t="s">
        <v>44</v>
      </c>
    </row>
    <row r="65" spans="1:23" x14ac:dyDescent="0.2">
      <c r="A65" s="3" t="s">
        <v>45</v>
      </c>
      <c r="B65" s="3" t="s">
        <v>46</v>
      </c>
      <c r="C65" s="3" t="s">
        <v>47</v>
      </c>
      <c r="D65" s="3" t="s">
        <v>48</v>
      </c>
      <c r="E65" s="3" t="s">
        <v>49</v>
      </c>
      <c r="F65" s="3" t="s">
        <v>50</v>
      </c>
      <c r="G65" s="3" t="s">
        <v>51</v>
      </c>
      <c r="I65" s="3" t="s">
        <v>45</v>
      </c>
      <c r="J65" s="3" t="s">
        <v>46</v>
      </c>
      <c r="K65" s="3" t="s">
        <v>47</v>
      </c>
      <c r="L65" s="3" t="s">
        <v>48</v>
      </c>
      <c r="M65" s="3" t="s">
        <v>49</v>
      </c>
      <c r="N65" s="3" t="s">
        <v>50</v>
      </c>
      <c r="O65" s="3" t="s">
        <v>51</v>
      </c>
      <c r="Q65" s="3" t="s">
        <v>45</v>
      </c>
      <c r="R65" s="3" t="s">
        <v>46</v>
      </c>
      <c r="S65" s="3" t="s">
        <v>47</v>
      </c>
      <c r="T65" s="3" t="s">
        <v>48</v>
      </c>
      <c r="U65" s="3" t="s">
        <v>49</v>
      </c>
      <c r="V65" s="3" t="s">
        <v>50</v>
      </c>
      <c r="W65" s="3" t="s">
        <v>51</v>
      </c>
    </row>
    <row r="66" spans="1:23" x14ac:dyDescent="0.2">
      <c r="A66" t="s">
        <v>52</v>
      </c>
      <c r="B66">
        <v>75.75706666666656</v>
      </c>
      <c r="C66">
        <v>1</v>
      </c>
      <c r="D66">
        <v>75.75706666666656</v>
      </c>
      <c r="E66">
        <v>1.0832145761105894</v>
      </c>
      <c r="F66">
        <v>0.35674972313922532</v>
      </c>
      <c r="G66">
        <v>7.708647422176786</v>
      </c>
      <c r="I66" t="s">
        <v>52</v>
      </c>
      <c r="J66">
        <v>1.5000000000014779E-2</v>
      </c>
      <c r="K66">
        <v>1</v>
      </c>
      <c r="L66">
        <v>1.5000000000014779E-2</v>
      </c>
      <c r="M66">
        <v>2.9508196721340544E-4</v>
      </c>
      <c r="N66">
        <v>0.98711732943272634</v>
      </c>
      <c r="O66">
        <v>7.708647422176786</v>
      </c>
      <c r="Q66" t="s">
        <v>52</v>
      </c>
      <c r="R66">
        <v>30.374999999999929</v>
      </c>
      <c r="S66">
        <v>1</v>
      </c>
      <c r="T66">
        <v>30.374999999999929</v>
      </c>
      <c r="U66">
        <v>1.800177795337808</v>
      </c>
      <c r="V66">
        <v>0.25079573213162898</v>
      </c>
      <c r="W66">
        <v>7.708647422176786</v>
      </c>
    </row>
    <row r="67" spans="1:23" x14ac:dyDescent="0.2">
      <c r="A67" t="s">
        <v>53</v>
      </c>
      <c r="B67">
        <v>279.74906666666658</v>
      </c>
      <c r="C67">
        <v>4</v>
      </c>
      <c r="D67">
        <v>69.937266666666645</v>
      </c>
      <c r="I67" t="s">
        <v>53</v>
      </c>
      <c r="J67">
        <v>203.33333333333337</v>
      </c>
      <c r="K67">
        <v>4</v>
      </c>
      <c r="L67">
        <v>50.833333333333343</v>
      </c>
      <c r="Q67" t="s">
        <v>53</v>
      </c>
      <c r="R67">
        <v>67.493333333333297</v>
      </c>
      <c r="S67">
        <v>4</v>
      </c>
      <c r="T67">
        <v>16.873333333333324</v>
      </c>
    </row>
    <row r="69" spans="1:23" ht="16" thickBot="1" x14ac:dyDescent="0.25">
      <c r="A69" s="4" t="s">
        <v>55</v>
      </c>
      <c r="B69" s="4">
        <v>355.50613333333314</v>
      </c>
      <c r="C69" s="4">
        <v>5</v>
      </c>
      <c r="D69" s="4"/>
      <c r="E69" s="4"/>
      <c r="F69" s="4"/>
      <c r="G69" s="4"/>
      <c r="I69" s="4" t="s">
        <v>55</v>
      </c>
      <c r="J69" s="4">
        <v>203.34833333333339</v>
      </c>
      <c r="K69" s="4">
        <v>5</v>
      </c>
      <c r="L69" s="4"/>
      <c r="M69" s="4"/>
      <c r="N69" s="4"/>
      <c r="O69" s="4"/>
      <c r="Q69" s="4" t="s">
        <v>55</v>
      </c>
      <c r="R69" s="4">
        <v>97.868333333333226</v>
      </c>
      <c r="S69" s="4">
        <v>5</v>
      </c>
      <c r="T69" s="4"/>
      <c r="U69" s="4"/>
      <c r="V69" s="4"/>
      <c r="W69" s="4"/>
    </row>
  </sheetData>
  <mergeCells count="19">
    <mergeCell ref="T56:U56"/>
    <mergeCell ref="B27:C27"/>
    <mergeCell ref="G27:H27"/>
    <mergeCell ref="L27:M27"/>
    <mergeCell ref="Q27:R27"/>
    <mergeCell ref="D41:E41"/>
    <mergeCell ref="D56:E56"/>
    <mergeCell ref="L41:M41"/>
    <mergeCell ref="L56:M56"/>
    <mergeCell ref="W41:X41"/>
    <mergeCell ref="W40:X40"/>
    <mergeCell ref="B1:C1"/>
    <mergeCell ref="G1:H1"/>
    <mergeCell ref="L1:M1"/>
    <mergeCell ref="Q1:R1"/>
    <mergeCell ref="B14:C14"/>
    <mergeCell ref="G14:H14"/>
    <mergeCell ref="L14:M14"/>
    <mergeCell ref="Q14:R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294CB-7825-544B-95FD-D9A6EDD9874A}">
  <sheetPr>
    <tabColor rgb="FF00B050"/>
  </sheetPr>
  <dimension ref="A1:Y91"/>
  <sheetViews>
    <sheetView topLeftCell="A19" workbookViewId="0">
      <selection activeCell="W41" sqref="W41:X42"/>
    </sheetView>
  </sheetViews>
  <sheetFormatPr baseColWidth="10" defaultColWidth="8.83203125" defaultRowHeight="15" x14ac:dyDescent="0.2"/>
  <cols>
    <col min="1" max="1" width="9.6640625" customWidth="1"/>
    <col min="2" max="2" width="7.5" customWidth="1"/>
    <col min="4" max="4" width="11.83203125" bestFit="1" customWidth="1"/>
    <col min="6" max="6" width="12.1640625" customWidth="1"/>
    <col min="7" max="7" width="8.6640625" customWidth="1"/>
    <col min="9" max="9" width="12.5" customWidth="1"/>
    <col min="10" max="10" width="11.83203125" customWidth="1"/>
    <col min="11" max="11" width="9" customWidth="1"/>
    <col min="12" max="12" width="9.5" customWidth="1"/>
    <col min="14" max="15" width="10.6640625" customWidth="1"/>
    <col min="16" max="16" width="9.1640625" customWidth="1"/>
    <col min="17" max="17" width="9" customWidth="1"/>
    <col min="18" max="18" width="12.33203125" customWidth="1"/>
    <col min="19" max="19" width="11.6640625" customWidth="1"/>
    <col min="20" max="20" width="7.83203125" customWidth="1"/>
    <col min="21" max="21" width="6.1640625" customWidth="1"/>
  </cols>
  <sheetData>
    <row r="1" spans="1:20" x14ac:dyDescent="0.2">
      <c r="A1" s="14" t="s">
        <v>113</v>
      </c>
      <c r="B1" s="138" t="s">
        <v>275</v>
      </c>
      <c r="C1" s="138"/>
      <c r="D1" s="138"/>
      <c r="E1" s="138"/>
      <c r="G1" s="139" t="s">
        <v>276</v>
      </c>
      <c r="H1" s="139"/>
      <c r="I1" s="139"/>
      <c r="J1" s="139"/>
      <c r="L1" s="140" t="s">
        <v>277</v>
      </c>
      <c r="M1" s="140"/>
      <c r="N1" s="140"/>
      <c r="O1" s="140"/>
      <c r="Q1" s="141" t="s">
        <v>278</v>
      </c>
      <c r="R1" s="141"/>
      <c r="S1" s="141"/>
      <c r="T1" s="141"/>
    </row>
    <row r="2" spans="1:20" x14ac:dyDescent="0.2">
      <c r="C2" t="s">
        <v>161</v>
      </c>
      <c r="D2" t="s">
        <v>344</v>
      </c>
      <c r="E2" t="s">
        <v>55</v>
      </c>
      <c r="H2" t="s">
        <v>161</v>
      </c>
      <c r="I2" t="s">
        <v>344</v>
      </c>
      <c r="J2" t="s">
        <v>55</v>
      </c>
      <c r="M2" t="s">
        <v>161</v>
      </c>
      <c r="N2" t="s">
        <v>344</v>
      </c>
      <c r="O2" t="s">
        <v>55</v>
      </c>
      <c r="R2" t="s">
        <v>161</v>
      </c>
      <c r="S2" t="s">
        <v>344</v>
      </c>
      <c r="T2" t="s">
        <v>55</v>
      </c>
    </row>
    <row r="3" spans="1:20" x14ac:dyDescent="0.2">
      <c r="B3" t="s">
        <v>281</v>
      </c>
      <c r="C3">
        <v>55</v>
      </c>
      <c r="D3">
        <v>88</v>
      </c>
      <c r="E3">
        <f>D3+C3</f>
        <v>143</v>
      </c>
      <c r="G3" t="s">
        <v>281</v>
      </c>
      <c r="H3">
        <v>68</v>
      </c>
      <c r="I3">
        <v>50</v>
      </c>
      <c r="J3">
        <f>I3+H3</f>
        <v>118</v>
      </c>
      <c r="L3" t="s">
        <v>281</v>
      </c>
      <c r="M3">
        <v>119</v>
      </c>
      <c r="N3">
        <v>97</v>
      </c>
      <c r="O3">
        <f>N3+M3</f>
        <v>216</v>
      </c>
      <c r="Q3" t="s">
        <v>281</v>
      </c>
      <c r="R3">
        <v>106</v>
      </c>
      <c r="S3">
        <v>66</v>
      </c>
      <c r="T3">
        <f>S3+R3</f>
        <v>172</v>
      </c>
    </row>
    <row r="4" spans="1:20" x14ac:dyDescent="0.2">
      <c r="B4" t="s">
        <v>156</v>
      </c>
      <c r="C4">
        <f>(C3/E3)*100</f>
        <v>38.461538461538467</v>
      </c>
      <c r="D4">
        <f>(D3/E3)*100</f>
        <v>61.53846153846154</v>
      </c>
      <c r="G4" t="s">
        <v>156</v>
      </c>
      <c r="H4">
        <f>(H3/J3)*100</f>
        <v>57.627118644067799</v>
      </c>
      <c r="I4">
        <f>(I3/J3)*100</f>
        <v>42.372881355932201</v>
      </c>
      <c r="L4" t="s">
        <v>156</v>
      </c>
      <c r="M4">
        <f>(M3/O3)*100</f>
        <v>55.092592592592595</v>
      </c>
      <c r="N4">
        <f>(N3/O3)*100</f>
        <v>44.907407407407405</v>
      </c>
      <c r="Q4" t="s">
        <v>156</v>
      </c>
      <c r="R4">
        <f>(R3/T3)*100</f>
        <v>61.627906976744185</v>
      </c>
      <c r="S4">
        <f>(S3/T3)*100</f>
        <v>38.372093023255815</v>
      </c>
    </row>
    <row r="5" spans="1:20" x14ac:dyDescent="0.2">
      <c r="B5" t="s">
        <v>28</v>
      </c>
      <c r="C5">
        <v>84</v>
      </c>
      <c r="D5">
        <v>119</v>
      </c>
      <c r="E5">
        <f>D5+C5</f>
        <v>203</v>
      </c>
      <c r="G5" t="s">
        <v>28</v>
      </c>
      <c r="H5">
        <v>73</v>
      </c>
      <c r="I5">
        <v>45</v>
      </c>
      <c r="J5">
        <f>I5+H5</f>
        <v>118</v>
      </c>
      <c r="L5" t="s">
        <v>28</v>
      </c>
      <c r="M5">
        <v>100</v>
      </c>
      <c r="N5">
        <v>68</v>
      </c>
      <c r="O5">
        <f>N5+M5</f>
        <v>168</v>
      </c>
      <c r="Q5" t="s">
        <v>28</v>
      </c>
      <c r="R5">
        <v>92</v>
      </c>
      <c r="S5">
        <v>57</v>
      </c>
      <c r="T5">
        <f>S5+R5</f>
        <v>149</v>
      </c>
    </row>
    <row r="6" spans="1:20" x14ac:dyDescent="0.2">
      <c r="B6" t="s">
        <v>156</v>
      </c>
      <c r="C6">
        <f>(C5/E5)*100</f>
        <v>41.379310344827587</v>
      </c>
      <c r="D6">
        <f>(D5/E5)*100</f>
        <v>58.620689655172406</v>
      </c>
      <c r="G6" t="s">
        <v>156</v>
      </c>
      <c r="H6">
        <f>(H5/J5)*100</f>
        <v>61.864406779661017</v>
      </c>
      <c r="I6">
        <f>(I5/J5)*100</f>
        <v>38.135593220338983</v>
      </c>
      <c r="L6" t="s">
        <v>156</v>
      </c>
      <c r="M6">
        <f>(M5/O5)*100</f>
        <v>59.523809523809526</v>
      </c>
      <c r="N6">
        <f>(N5/O5)*100</f>
        <v>40.476190476190474</v>
      </c>
      <c r="Q6" t="s">
        <v>156</v>
      </c>
      <c r="R6">
        <f>(R5/T5)*100</f>
        <v>61.744966442953022</v>
      </c>
      <c r="S6">
        <f>(S5/T5)*100</f>
        <v>38.255033557046978</v>
      </c>
    </row>
    <row r="7" spans="1:20" x14ac:dyDescent="0.2">
      <c r="B7" t="s">
        <v>30</v>
      </c>
      <c r="C7">
        <v>77</v>
      </c>
      <c r="D7">
        <v>89</v>
      </c>
      <c r="E7">
        <f>D7+C7</f>
        <v>166</v>
      </c>
      <c r="G7" t="s">
        <v>30</v>
      </c>
      <c r="H7">
        <v>82</v>
      </c>
      <c r="I7">
        <v>71</v>
      </c>
      <c r="J7">
        <f>I7+H7</f>
        <v>153</v>
      </c>
      <c r="L7" t="s">
        <v>30</v>
      </c>
      <c r="M7">
        <v>95</v>
      </c>
      <c r="N7">
        <v>62</v>
      </c>
      <c r="O7">
        <f>N7+M7</f>
        <v>157</v>
      </c>
      <c r="Q7" t="s">
        <v>30</v>
      </c>
      <c r="R7">
        <v>108</v>
      </c>
      <c r="S7">
        <v>82</v>
      </c>
      <c r="T7">
        <f>S7+R7</f>
        <v>190</v>
      </c>
    </row>
    <row r="8" spans="1:20" x14ac:dyDescent="0.2">
      <c r="B8" t="s">
        <v>156</v>
      </c>
      <c r="C8">
        <f>(C7/E7)*100</f>
        <v>46.385542168674696</v>
      </c>
      <c r="D8">
        <f>(D7/E7)*100</f>
        <v>53.614457831325304</v>
      </c>
      <c r="G8" t="s">
        <v>156</v>
      </c>
      <c r="H8">
        <f>(H7/J7)*100</f>
        <v>53.594771241830067</v>
      </c>
      <c r="I8">
        <f>(I7/J7)*100</f>
        <v>46.405228758169933</v>
      </c>
      <c r="L8" t="s">
        <v>156</v>
      </c>
      <c r="M8">
        <f>(M7/O7)*100</f>
        <v>60.509554140127385</v>
      </c>
      <c r="N8">
        <f>(N7/O7)*100</f>
        <v>39.490445859872615</v>
      </c>
      <c r="Q8" t="s">
        <v>156</v>
      </c>
      <c r="R8">
        <f>(R7/T7)*100</f>
        <v>56.84210526315789</v>
      </c>
      <c r="S8">
        <f>(S7/T7)*100</f>
        <v>43.15789473684211</v>
      </c>
    </row>
    <row r="10" spans="1:20" x14ac:dyDescent="0.2">
      <c r="A10" s="14" t="s">
        <v>114</v>
      </c>
      <c r="B10" s="138" t="s">
        <v>275</v>
      </c>
      <c r="C10" s="138"/>
      <c r="D10" s="138"/>
      <c r="E10" s="138"/>
      <c r="G10" s="139" t="s">
        <v>276</v>
      </c>
      <c r="H10" s="139"/>
      <c r="I10" s="139"/>
      <c r="J10" s="139"/>
      <c r="L10" s="140" t="s">
        <v>277</v>
      </c>
      <c r="M10" s="140"/>
      <c r="N10" s="140"/>
      <c r="O10" s="140"/>
      <c r="Q10" s="141" t="s">
        <v>278</v>
      </c>
      <c r="R10" s="141"/>
      <c r="S10" s="141"/>
      <c r="T10" s="141"/>
    </row>
    <row r="11" spans="1:20" x14ac:dyDescent="0.2">
      <c r="C11" t="s">
        <v>161</v>
      </c>
      <c r="D11" t="s">
        <v>344</v>
      </c>
      <c r="E11" t="s">
        <v>55</v>
      </c>
      <c r="H11" t="s">
        <v>161</v>
      </c>
      <c r="I11" t="s">
        <v>344</v>
      </c>
      <c r="J11" t="s">
        <v>55</v>
      </c>
      <c r="M11" t="s">
        <v>161</v>
      </c>
      <c r="N11" t="s">
        <v>344</v>
      </c>
      <c r="O11" t="s">
        <v>55</v>
      </c>
      <c r="R11" t="s">
        <v>161</v>
      </c>
      <c r="S11" t="s">
        <v>344</v>
      </c>
      <c r="T11" t="s">
        <v>55</v>
      </c>
    </row>
    <row r="12" spans="1:20" x14ac:dyDescent="0.2">
      <c r="B12" t="s">
        <v>281</v>
      </c>
      <c r="C12">
        <v>62</v>
      </c>
      <c r="D12">
        <v>99</v>
      </c>
      <c r="E12">
        <f>D12+C12</f>
        <v>161</v>
      </c>
      <c r="G12" t="s">
        <v>281</v>
      </c>
      <c r="H12">
        <v>69</v>
      </c>
      <c r="I12">
        <v>66</v>
      </c>
      <c r="J12">
        <f>I12+H12</f>
        <v>135</v>
      </c>
      <c r="L12" t="s">
        <v>281</v>
      </c>
      <c r="M12">
        <v>84</v>
      </c>
      <c r="N12">
        <v>65</v>
      </c>
      <c r="O12">
        <f>N12+M12</f>
        <v>149</v>
      </c>
      <c r="Q12" t="s">
        <v>281</v>
      </c>
      <c r="R12">
        <v>87</v>
      </c>
      <c r="S12">
        <v>43</v>
      </c>
      <c r="T12">
        <f>S12+R12</f>
        <v>130</v>
      </c>
    </row>
    <row r="13" spans="1:20" x14ac:dyDescent="0.2">
      <c r="B13" t="s">
        <v>156</v>
      </c>
      <c r="C13">
        <f>(C12/E12)*100</f>
        <v>38.509316770186338</v>
      </c>
      <c r="D13">
        <f>(D12/E12)*100</f>
        <v>61.490683229813669</v>
      </c>
      <c r="G13" t="s">
        <v>156</v>
      </c>
      <c r="H13">
        <f>(H12/J12)*100</f>
        <v>51.111111111111107</v>
      </c>
      <c r="I13">
        <f>(I12/J12)*100</f>
        <v>48.888888888888886</v>
      </c>
      <c r="L13" t="s">
        <v>156</v>
      </c>
      <c r="M13">
        <f>(M12/O12)*100</f>
        <v>56.375838926174495</v>
      </c>
      <c r="N13">
        <f>(N12/O12)*100</f>
        <v>43.624161073825505</v>
      </c>
      <c r="Q13" t="s">
        <v>156</v>
      </c>
      <c r="R13">
        <f>(R12/T12)*100</f>
        <v>66.92307692307692</v>
      </c>
      <c r="S13">
        <f>(S12/T12)*100</f>
        <v>33.076923076923073</v>
      </c>
    </row>
    <row r="14" spans="1:20" x14ac:dyDescent="0.2">
      <c r="B14" t="s">
        <v>28</v>
      </c>
      <c r="C14">
        <v>67</v>
      </c>
      <c r="D14">
        <v>69</v>
      </c>
      <c r="E14">
        <f>D14+C14</f>
        <v>136</v>
      </c>
      <c r="G14" t="s">
        <v>28</v>
      </c>
      <c r="H14">
        <v>60</v>
      </c>
      <c r="I14">
        <v>40</v>
      </c>
      <c r="J14">
        <f>I14+H14</f>
        <v>100</v>
      </c>
      <c r="L14" t="s">
        <v>28</v>
      </c>
      <c r="M14">
        <v>101</v>
      </c>
      <c r="N14">
        <v>65</v>
      </c>
      <c r="O14">
        <f>N14+M14</f>
        <v>166</v>
      </c>
      <c r="Q14" t="s">
        <v>28</v>
      </c>
      <c r="R14">
        <v>89</v>
      </c>
      <c r="S14">
        <v>41</v>
      </c>
      <c r="T14">
        <f>S14+R14</f>
        <v>130</v>
      </c>
    </row>
    <row r="15" spans="1:20" x14ac:dyDescent="0.2">
      <c r="B15" t="s">
        <v>156</v>
      </c>
      <c r="C15">
        <f>(C14/E14)*100</f>
        <v>49.264705882352942</v>
      </c>
      <c r="D15">
        <f>(D14/E14)*100</f>
        <v>50.735294117647058</v>
      </c>
      <c r="G15" t="s">
        <v>156</v>
      </c>
      <c r="H15">
        <f>(H14/J14)*100</f>
        <v>60</v>
      </c>
      <c r="I15">
        <f>(I14/J14)*100</f>
        <v>40</v>
      </c>
      <c r="L15" t="s">
        <v>156</v>
      </c>
      <c r="M15">
        <f>(M14/O14)*100</f>
        <v>60.843373493975903</v>
      </c>
      <c r="N15">
        <f>(N14/O14)*100</f>
        <v>39.156626506024097</v>
      </c>
      <c r="Q15" t="s">
        <v>156</v>
      </c>
      <c r="R15">
        <f>(R14/T14)*100</f>
        <v>68.461538461538467</v>
      </c>
      <c r="S15">
        <f>(S14/T14)*100</f>
        <v>31.538461538461537</v>
      </c>
    </row>
    <row r="16" spans="1:20" x14ac:dyDescent="0.2">
      <c r="B16" t="s">
        <v>30</v>
      </c>
      <c r="C16">
        <v>53</v>
      </c>
      <c r="D16">
        <v>65</v>
      </c>
      <c r="E16">
        <f>D16+C16</f>
        <v>118</v>
      </c>
      <c r="G16" t="s">
        <v>30</v>
      </c>
      <c r="H16">
        <v>71</v>
      </c>
      <c r="I16">
        <v>51</v>
      </c>
      <c r="J16">
        <f>I16+H16</f>
        <v>122</v>
      </c>
      <c r="L16" t="s">
        <v>30</v>
      </c>
      <c r="M16">
        <v>90</v>
      </c>
      <c r="N16">
        <v>56</v>
      </c>
      <c r="O16">
        <f>N16+M16</f>
        <v>146</v>
      </c>
      <c r="Q16" t="s">
        <v>30</v>
      </c>
      <c r="R16">
        <v>61</v>
      </c>
      <c r="S16">
        <v>29</v>
      </c>
      <c r="T16">
        <f>S16+R16</f>
        <v>90</v>
      </c>
    </row>
    <row r="17" spans="1:20" x14ac:dyDescent="0.2">
      <c r="B17" t="s">
        <v>156</v>
      </c>
      <c r="C17">
        <f>(C16/E16)*100</f>
        <v>44.915254237288138</v>
      </c>
      <c r="D17">
        <f>(D16/E16)*100</f>
        <v>55.084745762711862</v>
      </c>
      <c r="G17" t="s">
        <v>156</v>
      </c>
      <c r="H17">
        <f>(H16/J16)*100</f>
        <v>58.196721311475407</v>
      </c>
      <c r="I17">
        <f>(I16/J16)*100</f>
        <v>41.803278688524593</v>
      </c>
      <c r="L17" t="s">
        <v>156</v>
      </c>
      <c r="M17">
        <f>(M16/O16)*100</f>
        <v>61.643835616438359</v>
      </c>
      <c r="N17">
        <f>(N16/O16)*100</f>
        <v>38.356164383561641</v>
      </c>
      <c r="Q17" t="s">
        <v>156</v>
      </c>
      <c r="R17">
        <f>(R16/T16)*100</f>
        <v>67.777777777777786</v>
      </c>
      <c r="S17">
        <f>(S16/T16)*100</f>
        <v>32.222222222222221</v>
      </c>
    </row>
    <row r="19" spans="1:20" x14ac:dyDescent="0.2">
      <c r="A19" s="14" t="s">
        <v>129</v>
      </c>
      <c r="B19" s="138" t="s">
        <v>275</v>
      </c>
      <c r="C19" s="138"/>
      <c r="D19" s="138"/>
      <c r="E19" s="138"/>
      <c r="G19" s="139" t="s">
        <v>276</v>
      </c>
      <c r="H19" s="139"/>
      <c r="I19" s="139"/>
      <c r="J19" s="139"/>
      <c r="L19" s="140" t="s">
        <v>277</v>
      </c>
      <c r="M19" s="140"/>
      <c r="N19" s="140"/>
      <c r="O19" s="140"/>
      <c r="Q19" s="141" t="s">
        <v>278</v>
      </c>
      <c r="R19" s="141"/>
      <c r="S19" s="141"/>
      <c r="T19" s="141"/>
    </row>
    <row r="20" spans="1:20" x14ac:dyDescent="0.2">
      <c r="C20" t="s">
        <v>161</v>
      </c>
      <c r="D20" t="s">
        <v>344</v>
      </c>
      <c r="E20" t="s">
        <v>55</v>
      </c>
      <c r="H20" t="s">
        <v>161</v>
      </c>
      <c r="I20" t="s">
        <v>344</v>
      </c>
      <c r="J20" t="s">
        <v>55</v>
      </c>
      <c r="M20" t="s">
        <v>161</v>
      </c>
      <c r="N20" t="s">
        <v>344</v>
      </c>
      <c r="O20" t="s">
        <v>55</v>
      </c>
      <c r="R20" t="s">
        <v>161</v>
      </c>
      <c r="S20" t="s">
        <v>344</v>
      </c>
      <c r="T20" t="s">
        <v>55</v>
      </c>
    </row>
    <row r="21" spans="1:20" x14ac:dyDescent="0.2">
      <c r="B21" t="s">
        <v>281</v>
      </c>
      <c r="C21">
        <v>68</v>
      </c>
      <c r="D21">
        <v>81</v>
      </c>
      <c r="E21">
        <f>D21+C21</f>
        <v>149</v>
      </c>
      <c r="G21" t="s">
        <v>281</v>
      </c>
      <c r="H21">
        <v>112</v>
      </c>
      <c r="I21">
        <v>64</v>
      </c>
      <c r="J21">
        <f>I21+H21</f>
        <v>176</v>
      </c>
      <c r="L21" t="s">
        <v>281</v>
      </c>
      <c r="M21">
        <v>118</v>
      </c>
      <c r="N21">
        <v>73</v>
      </c>
      <c r="O21">
        <f>N21+M21</f>
        <v>191</v>
      </c>
      <c r="Q21" t="s">
        <v>281</v>
      </c>
      <c r="R21">
        <v>80</v>
      </c>
      <c r="S21">
        <v>49</v>
      </c>
      <c r="T21">
        <f>S21+R21</f>
        <v>129</v>
      </c>
    </row>
    <row r="22" spans="1:20" x14ac:dyDescent="0.2">
      <c r="B22" t="s">
        <v>156</v>
      </c>
      <c r="C22">
        <f>(C21/E21)*100</f>
        <v>45.63758389261745</v>
      </c>
      <c r="D22">
        <f>(D21/E21)*100</f>
        <v>54.36241610738255</v>
      </c>
      <c r="G22" t="s">
        <v>156</v>
      </c>
      <c r="H22">
        <f>(H21/J21)*100</f>
        <v>63.636363636363633</v>
      </c>
      <c r="I22">
        <f>(I21/J21)*100</f>
        <v>36.363636363636367</v>
      </c>
      <c r="L22" t="s">
        <v>156</v>
      </c>
      <c r="M22">
        <f>(M21/O21)*100</f>
        <v>61.780104712041883</v>
      </c>
      <c r="N22">
        <f>(N21/O21)*100</f>
        <v>38.219895287958117</v>
      </c>
      <c r="Q22" t="s">
        <v>156</v>
      </c>
      <c r="R22">
        <f>(R21/T21)*100</f>
        <v>62.015503875968989</v>
      </c>
      <c r="S22">
        <f>(S21/T21)*100</f>
        <v>37.984496124031011</v>
      </c>
    </row>
    <row r="23" spans="1:20" x14ac:dyDescent="0.2">
      <c r="B23" t="s">
        <v>28</v>
      </c>
      <c r="C23">
        <v>64</v>
      </c>
      <c r="D23">
        <v>106</v>
      </c>
      <c r="E23">
        <f>D23+C23</f>
        <v>170</v>
      </c>
      <c r="G23" t="s">
        <v>28</v>
      </c>
      <c r="H23">
        <v>72</v>
      </c>
      <c r="I23">
        <v>44</v>
      </c>
      <c r="J23">
        <f>I23+H23</f>
        <v>116</v>
      </c>
      <c r="L23" t="s">
        <v>28</v>
      </c>
      <c r="M23">
        <v>80</v>
      </c>
      <c r="N23">
        <v>33</v>
      </c>
      <c r="O23">
        <f>N23+M23</f>
        <v>113</v>
      </c>
      <c r="Q23" t="s">
        <v>28</v>
      </c>
      <c r="R23">
        <v>71</v>
      </c>
      <c r="S23">
        <v>29</v>
      </c>
      <c r="T23">
        <f>S23+R23</f>
        <v>100</v>
      </c>
    </row>
    <row r="24" spans="1:20" x14ac:dyDescent="0.2">
      <c r="B24" t="s">
        <v>156</v>
      </c>
      <c r="C24">
        <f>(C23/E23)*100</f>
        <v>37.647058823529413</v>
      </c>
      <c r="D24">
        <f>(D23/E23)*100</f>
        <v>62.352941176470587</v>
      </c>
      <c r="G24" t="s">
        <v>156</v>
      </c>
      <c r="H24">
        <f>(H23/J23)*100</f>
        <v>62.068965517241381</v>
      </c>
      <c r="I24">
        <f>(I23/J23)*100</f>
        <v>37.931034482758619</v>
      </c>
      <c r="L24" t="s">
        <v>156</v>
      </c>
      <c r="M24">
        <f>(M23/O23)*100</f>
        <v>70.796460176991147</v>
      </c>
      <c r="N24">
        <f>(N23/O23)*100</f>
        <v>29.20353982300885</v>
      </c>
      <c r="Q24" t="s">
        <v>156</v>
      </c>
      <c r="R24">
        <f>(R23/T23)*100</f>
        <v>71</v>
      </c>
      <c r="S24">
        <f>(S23/T23)*100</f>
        <v>28.999999999999996</v>
      </c>
    </row>
    <row r="25" spans="1:20" x14ac:dyDescent="0.2">
      <c r="B25" t="s">
        <v>30</v>
      </c>
      <c r="C25">
        <v>62</v>
      </c>
      <c r="D25">
        <v>53</v>
      </c>
      <c r="E25">
        <f>D25+C25</f>
        <v>115</v>
      </c>
      <c r="G25" t="s">
        <v>30</v>
      </c>
      <c r="H25">
        <v>68</v>
      </c>
      <c r="I25">
        <v>44</v>
      </c>
      <c r="J25">
        <f>I25+H25</f>
        <v>112</v>
      </c>
      <c r="L25" t="s">
        <v>30</v>
      </c>
      <c r="M25">
        <v>66</v>
      </c>
      <c r="N25">
        <v>37</v>
      </c>
      <c r="O25">
        <f>N25+M25</f>
        <v>103</v>
      </c>
      <c r="Q25" t="s">
        <v>30</v>
      </c>
      <c r="R25">
        <v>93</v>
      </c>
      <c r="S25">
        <v>56</v>
      </c>
      <c r="T25">
        <f>S25+R25</f>
        <v>149</v>
      </c>
    </row>
    <row r="26" spans="1:20" x14ac:dyDescent="0.2">
      <c r="B26" t="s">
        <v>156</v>
      </c>
      <c r="C26">
        <f>(C25/E25)*100</f>
        <v>53.913043478260867</v>
      </c>
      <c r="D26">
        <f>(D25/E25)*100</f>
        <v>46.086956521739133</v>
      </c>
      <c r="G26" t="s">
        <v>156</v>
      </c>
      <c r="H26">
        <f>(H25/J25)*100</f>
        <v>60.714285714285708</v>
      </c>
      <c r="I26">
        <f>(I25/J25)*100</f>
        <v>39.285714285714285</v>
      </c>
      <c r="L26" t="s">
        <v>156</v>
      </c>
      <c r="M26">
        <f>(M25/O25)*100</f>
        <v>64.077669902912632</v>
      </c>
      <c r="N26">
        <f>(N25/O25)*100</f>
        <v>35.922330097087382</v>
      </c>
      <c r="Q26" t="s">
        <v>156</v>
      </c>
      <c r="R26">
        <f>(R25/T25)*100</f>
        <v>62.416107382550337</v>
      </c>
      <c r="S26">
        <f>(S25/T25)*100</f>
        <v>37.583892617449663</v>
      </c>
    </row>
    <row r="28" spans="1:20" x14ac:dyDescent="0.2">
      <c r="A28" s="14" t="s">
        <v>345</v>
      </c>
      <c r="B28" s="138" t="s">
        <v>275</v>
      </c>
      <c r="C28" s="138"/>
      <c r="D28" s="138"/>
      <c r="E28" s="138"/>
      <c r="G28" s="139" t="s">
        <v>276</v>
      </c>
      <c r="H28" s="139"/>
      <c r="I28" s="139"/>
      <c r="J28" s="139"/>
      <c r="L28" s="140" t="s">
        <v>277</v>
      </c>
      <c r="M28" s="140"/>
      <c r="N28" s="140"/>
      <c r="O28" s="140"/>
      <c r="Q28" s="141" t="s">
        <v>278</v>
      </c>
      <c r="R28" s="141"/>
      <c r="S28" s="141"/>
      <c r="T28" s="141"/>
    </row>
    <row r="29" spans="1:20" x14ac:dyDescent="0.2">
      <c r="C29" t="s">
        <v>161</v>
      </c>
      <c r="D29" t="s">
        <v>344</v>
      </c>
      <c r="E29" t="s">
        <v>55</v>
      </c>
      <c r="H29" t="s">
        <v>161</v>
      </c>
      <c r="I29" t="s">
        <v>344</v>
      </c>
      <c r="J29" t="s">
        <v>55</v>
      </c>
      <c r="M29" t="s">
        <v>161</v>
      </c>
      <c r="N29" t="s">
        <v>344</v>
      </c>
      <c r="O29" t="s">
        <v>55</v>
      </c>
      <c r="R29" t="s">
        <v>161</v>
      </c>
      <c r="S29" t="s">
        <v>344</v>
      </c>
      <c r="T29" t="s">
        <v>55</v>
      </c>
    </row>
    <row r="30" spans="1:20" x14ac:dyDescent="0.2">
      <c r="B30" t="s">
        <v>281</v>
      </c>
      <c r="C30">
        <f t="shared" ref="C30:D35" si="0">AVERAGE(C3,C12,C21)</f>
        <v>61.666666666666664</v>
      </c>
      <c r="D30">
        <f t="shared" si="0"/>
        <v>89.333333333333329</v>
      </c>
      <c r="E30">
        <f>D30+C30</f>
        <v>151</v>
      </c>
      <c r="G30" t="s">
        <v>281</v>
      </c>
      <c r="H30">
        <f t="shared" ref="H30:I35" si="1">AVERAGE(H3,H12,H21)</f>
        <v>83</v>
      </c>
      <c r="I30">
        <f t="shared" si="1"/>
        <v>60</v>
      </c>
      <c r="J30">
        <f>I30+H30</f>
        <v>143</v>
      </c>
      <c r="L30" t="s">
        <v>281</v>
      </c>
      <c r="M30">
        <f t="shared" ref="M30:N35" si="2">AVERAGE(M3,M12,M21)</f>
        <v>107</v>
      </c>
      <c r="N30">
        <f t="shared" si="2"/>
        <v>78.333333333333329</v>
      </c>
      <c r="O30">
        <f>N30+M30</f>
        <v>185.33333333333331</v>
      </c>
      <c r="Q30" t="s">
        <v>281</v>
      </c>
      <c r="R30">
        <f t="shared" ref="R30:S35" si="3">AVERAGE(R3,R12,R21)</f>
        <v>91</v>
      </c>
      <c r="S30">
        <f t="shared" si="3"/>
        <v>52.666666666666664</v>
      </c>
      <c r="T30">
        <f>S30+R30</f>
        <v>143.66666666666666</v>
      </c>
    </row>
    <row r="31" spans="1:20" x14ac:dyDescent="0.2">
      <c r="B31" t="s">
        <v>156</v>
      </c>
      <c r="C31">
        <f t="shared" si="0"/>
        <v>40.869479708114085</v>
      </c>
      <c r="D31">
        <f t="shared" si="0"/>
        <v>59.130520291885922</v>
      </c>
      <c r="G31" t="s">
        <v>156</v>
      </c>
      <c r="H31">
        <f t="shared" si="1"/>
        <v>57.458197797180844</v>
      </c>
      <c r="I31">
        <f t="shared" si="1"/>
        <v>42.541802202819156</v>
      </c>
      <c r="L31" t="s">
        <v>156</v>
      </c>
      <c r="M31">
        <f t="shared" si="2"/>
        <v>57.749512076936327</v>
      </c>
      <c r="N31">
        <f t="shared" si="2"/>
        <v>42.250487923063673</v>
      </c>
      <c r="Q31" t="s">
        <v>156</v>
      </c>
      <c r="R31">
        <f t="shared" si="3"/>
        <v>63.522162591930034</v>
      </c>
      <c r="S31">
        <f t="shared" si="3"/>
        <v>36.477837408069966</v>
      </c>
    </row>
    <row r="32" spans="1:20" x14ac:dyDescent="0.2">
      <c r="B32" t="s">
        <v>28</v>
      </c>
      <c r="C32">
        <f t="shared" si="0"/>
        <v>71.666666666666671</v>
      </c>
      <c r="D32">
        <f t="shared" si="0"/>
        <v>98</v>
      </c>
      <c r="E32">
        <f>D32+C32</f>
        <v>169.66666666666669</v>
      </c>
      <c r="G32" t="s">
        <v>28</v>
      </c>
      <c r="H32">
        <f t="shared" si="1"/>
        <v>68.333333333333329</v>
      </c>
      <c r="I32">
        <f t="shared" si="1"/>
        <v>43</v>
      </c>
      <c r="J32">
        <f>I32+H32</f>
        <v>111.33333333333333</v>
      </c>
      <c r="L32" t="s">
        <v>28</v>
      </c>
      <c r="M32">
        <f t="shared" si="2"/>
        <v>93.666666666666671</v>
      </c>
      <c r="N32">
        <f t="shared" si="2"/>
        <v>55.333333333333336</v>
      </c>
      <c r="O32">
        <f>N32+M32</f>
        <v>149</v>
      </c>
      <c r="Q32" t="s">
        <v>28</v>
      </c>
      <c r="R32">
        <f t="shared" si="3"/>
        <v>84</v>
      </c>
      <c r="S32">
        <f t="shared" si="3"/>
        <v>42.333333333333336</v>
      </c>
      <c r="T32">
        <f>S32+R32</f>
        <v>126.33333333333334</v>
      </c>
    </row>
    <row r="33" spans="1:24" x14ac:dyDescent="0.2">
      <c r="B33" t="s">
        <v>156</v>
      </c>
      <c r="C33">
        <f t="shared" si="0"/>
        <v>42.763691683569981</v>
      </c>
      <c r="D33">
        <f t="shared" si="0"/>
        <v>57.236308316430012</v>
      </c>
      <c r="G33" t="s">
        <v>156</v>
      </c>
      <c r="H33">
        <f t="shared" si="1"/>
        <v>61.311124098967468</v>
      </c>
      <c r="I33">
        <f t="shared" si="1"/>
        <v>38.688875901032539</v>
      </c>
      <c r="L33" t="s">
        <v>156</v>
      </c>
      <c r="M33">
        <f t="shared" si="2"/>
        <v>63.721214398258859</v>
      </c>
      <c r="N33">
        <f t="shared" si="2"/>
        <v>36.278785601741141</v>
      </c>
      <c r="Q33" t="s">
        <v>156</v>
      </c>
      <c r="R33">
        <f t="shared" si="3"/>
        <v>67.068834968163827</v>
      </c>
      <c r="S33">
        <f t="shared" si="3"/>
        <v>32.931165031836173</v>
      </c>
    </row>
    <row r="34" spans="1:24" x14ac:dyDescent="0.2">
      <c r="B34" t="s">
        <v>30</v>
      </c>
      <c r="C34">
        <f t="shared" si="0"/>
        <v>64</v>
      </c>
      <c r="D34">
        <f t="shared" si="0"/>
        <v>69</v>
      </c>
      <c r="E34">
        <f>D34+C34</f>
        <v>133</v>
      </c>
      <c r="G34" t="s">
        <v>30</v>
      </c>
      <c r="H34">
        <f t="shared" si="1"/>
        <v>73.666666666666671</v>
      </c>
      <c r="I34">
        <f t="shared" si="1"/>
        <v>55.333333333333336</v>
      </c>
      <c r="J34">
        <f>I34+H34</f>
        <v>129</v>
      </c>
      <c r="L34" t="s">
        <v>30</v>
      </c>
      <c r="M34">
        <f t="shared" si="2"/>
        <v>83.666666666666671</v>
      </c>
      <c r="N34">
        <f t="shared" si="2"/>
        <v>51.666666666666664</v>
      </c>
      <c r="O34">
        <f>N34+M34</f>
        <v>135.33333333333334</v>
      </c>
      <c r="Q34" t="s">
        <v>30</v>
      </c>
      <c r="R34">
        <f t="shared" si="3"/>
        <v>87.333333333333329</v>
      </c>
      <c r="S34">
        <f t="shared" si="3"/>
        <v>55.666666666666664</v>
      </c>
      <c r="T34">
        <f>S34+R34</f>
        <v>143</v>
      </c>
    </row>
    <row r="35" spans="1:24" x14ac:dyDescent="0.2">
      <c r="B35" t="s">
        <v>156</v>
      </c>
      <c r="C35">
        <f t="shared" si="0"/>
        <v>48.404613294741239</v>
      </c>
      <c r="D35">
        <f t="shared" si="0"/>
        <v>51.595386705258761</v>
      </c>
      <c r="G35" t="s">
        <v>156</v>
      </c>
      <c r="H35">
        <f t="shared" si="1"/>
        <v>57.501926089197063</v>
      </c>
      <c r="I35">
        <f t="shared" si="1"/>
        <v>42.498073910802937</v>
      </c>
      <c r="L35" t="s">
        <v>156</v>
      </c>
      <c r="M35">
        <f t="shared" si="2"/>
        <v>62.077019886492792</v>
      </c>
      <c r="N35">
        <f t="shared" si="2"/>
        <v>37.922980113507215</v>
      </c>
      <c r="Q35" t="s">
        <v>156</v>
      </c>
      <c r="R35">
        <f t="shared" si="3"/>
        <v>62.345330141162002</v>
      </c>
      <c r="S35">
        <f t="shared" si="3"/>
        <v>37.654669858837998</v>
      </c>
    </row>
    <row r="37" spans="1:24" x14ac:dyDescent="0.2">
      <c r="A37" t="s">
        <v>281</v>
      </c>
      <c r="B37" t="s">
        <v>63</v>
      </c>
      <c r="C37">
        <f>STDEVA(C4,C13,C22)</f>
        <v>4.1293684538199287</v>
      </c>
      <c r="D37">
        <f>STDEVA(D4,D13,D22)</f>
        <v>4.1293684538199322</v>
      </c>
      <c r="F37" t="s">
        <v>281</v>
      </c>
      <c r="G37" t="s">
        <v>63</v>
      </c>
      <c r="H37">
        <f>STDEVA(H4,H13,H22)</f>
        <v>6.2643346330413214</v>
      </c>
      <c r="I37">
        <f>STDEVA(I4,I13,I22)</f>
        <v>6.2643346330413028</v>
      </c>
      <c r="K37" t="s">
        <v>281</v>
      </c>
      <c r="L37" t="s">
        <v>63</v>
      </c>
      <c r="M37">
        <f>STDEVA(M4,M13,M22)</f>
        <v>3.5490756586452514</v>
      </c>
      <c r="N37">
        <f>STDEVA(N4,N13,N22)</f>
        <v>3.5490756586452514</v>
      </c>
      <c r="P37" t="s">
        <v>281</v>
      </c>
      <c r="Q37" t="s">
        <v>63</v>
      </c>
      <c r="R37">
        <f>STDEVA(R4,R13,R22)</f>
        <v>2.9516472612631723</v>
      </c>
      <c r="S37">
        <f>STDEVA(S4,S13,S22)</f>
        <v>2.9516472612631763</v>
      </c>
    </row>
    <row r="38" spans="1:24" x14ac:dyDescent="0.2">
      <c r="B38" t="s">
        <v>59</v>
      </c>
      <c r="C38">
        <f>(C37/SQRT(3))</f>
        <v>2.3840919883960847</v>
      </c>
      <c r="D38">
        <f>(D37/SQRT(3))</f>
        <v>2.3840919883960869</v>
      </c>
      <c r="G38" t="s">
        <v>59</v>
      </c>
      <c r="H38">
        <f>(H37/SQRT(3))</f>
        <v>3.6167152866803027</v>
      </c>
      <c r="I38">
        <f>(I37/SQRT(3))</f>
        <v>3.6167152866802921</v>
      </c>
      <c r="L38" t="s">
        <v>59</v>
      </c>
      <c r="M38">
        <f>(M37/SQRT(3))</f>
        <v>2.0490597868931846</v>
      </c>
      <c r="N38">
        <f>(N37/SQRT(3))</f>
        <v>2.0490597868931846</v>
      </c>
      <c r="Q38" t="s">
        <v>59</v>
      </c>
      <c r="R38">
        <f>(R37/SQRT(3))</f>
        <v>1.7041343408431142</v>
      </c>
      <c r="S38">
        <f>(S37/SQRT(3))</f>
        <v>1.7041343408431167</v>
      </c>
    </row>
    <row r="39" spans="1:24" x14ac:dyDescent="0.2">
      <c r="A39" t="s">
        <v>28</v>
      </c>
      <c r="B39" t="s">
        <v>63</v>
      </c>
      <c r="C39">
        <f>STDEVA(C6,C15,C24)</f>
        <v>5.9312574184688618</v>
      </c>
      <c r="D39">
        <f>STDEVA(D6,D15,D24)</f>
        <v>5.9312574184688165</v>
      </c>
      <c r="F39" t="s">
        <v>28</v>
      </c>
      <c r="G39" t="s">
        <v>63</v>
      </c>
      <c r="H39">
        <f>STDEVA(H6,H15,H24)</f>
        <v>1.1400639769109695</v>
      </c>
      <c r="I39">
        <f>STDEVA(I6,I15,I24)</f>
        <v>1.1400639769109695</v>
      </c>
      <c r="K39" t="s">
        <v>28</v>
      </c>
      <c r="L39" t="s">
        <v>63</v>
      </c>
      <c r="M39">
        <f>STDEVA(M6,M15,M24)</f>
        <v>6.1627623181445275</v>
      </c>
      <c r="N39">
        <f>STDEVA(N6,N15,N24)</f>
        <v>6.162762318144547</v>
      </c>
      <c r="P39" t="s">
        <v>28</v>
      </c>
      <c r="Q39" t="s">
        <v>63</v>
      </c>
      <c r="R39">
        <f>STDEVA(R6,R15,R24)</f>
        <v>4.7821155152149819</v>
      </c>
      <c r="S39">
        <f>STDEVA(S6,S15,S24)</f>
        <v>4.7821155152149553</v>
      </c>
    </row>
    <row r="40" spans="1:24" x14ac:dyDescent="0.2">
      <c r="B40" t="s">
        <v>59</v>
      </c>
      <c r="C40">
        <f>(C39/SQRT(3))</f>
        <v>3.4244130671859625</v>
      </c>
      <c r="D40">
        <f>(D39/SQRT(3))</f>
        <v>3.4244130671859363</v>
      </c>
      <c r="G40" t="s">
        <v>59</v>
      </c>
      <c r="H40">
        <f>(H39/SQRT(3))</f>
        <v>0.65821624396294354</v>
      </c>
      <c r="I40">
        <f>(I39/SQRT(3))</f>
        <v>0.65821624396294354</v>
      </c>
      <c r="L40" t="s">
        <v>59</v>
      </c>
      <c r="M40">
        <f>(M39/SQRT(3))</f>
        <v>3.5580724833324253</v>
      </c>
      <c r="N40">
        <f>(N39/SQRT(3))</f>
        <v>3.5580724833324364</v>
      </c>
      <c r="Q40" t="s">
        <v>59</v>
      </c>
      <c r="R40">
        <f>(R39/SQRT(3))</f>
        <v>2.7609556800052557</v>
      </c>
      <c r="S40">
        <f>(S39/SQRT(3))</f>
        <v>2.7609556800052406</v>
      </c>
    </row>
    <row r="41" spans="1:24" x14ac:dyDescent="0.2">
      <c r="A41" t="s">
        <v>30</v>
      </c>
      <c r="B41" t="s">
        <v>63</v>
      </c>
      <c r="C41">
        <f>STDEVA(C8,C17,C26)</f>
        <v>4.8267524242836242</v>
      </c>
      <c r="D41">
        <f>STDEVA(D8,D17,D26)</f>
        <v>4.8267524242836242</v>
      </c>
      <c r="F41" t="s">
        <v>30</v>
      </c>
      <c r="G41" t="s">
        <v>63</v>
      </c>
      <c r="H41">
        <f>STDEVA(H8,H17,H26)</f>
        <v>3.6102530218188233</v>
      </c>
      <c r="I41">
        <f>STDEVA(I8,I17,I26)</f>
        <v>3.6102530218188265</v>
      </c>
      <c r="K41" t="s">
        <v>30</v>
      </c>
      <c r="L41" t="s">
        <v>63</v>
      </c>
      <c r="M41">
        <f>STDEVA(M8,M17,M26)</f>
        <v>1.823074047598199</v>
      </c>
      <c r="N41">
        <f>STDEVA(N8,N17,N26)</f>
        <v>1.8230740475981912</v>
      </c>
      <c r="P41" t="s">
        <v>30</v>
      </c>
      <c r="Q41" t="s">
        <v>63</v>
      </c>
      <c r="R41">
        <f>STDEVA(R8,R17,R26)</f>
        <v>5.4681798068623495</v>
      </c>
      <c r="S41">
        <f>STDEVA(S8,S17,S26)</f>
        <v>5.4681798068623211</v>
      </c>
      <c r="W41" s="114" t="s">
        <v>409</v>
      </c>
      <c r="X41" s="114"/>
    </row>
    <row r="42" spans="1:24" x14ac:dyDescent="0.2">
      <c r="B42" t="s">
        <v>59</v>
      </c>
      <c r="C42">
        <f>(C41/SQRT(3))</f>
        <v>2.7867268114718295</v>
      </c>
      <c r="D42">
        <f>(D41/SQRT(3))</f>
        <v>2.7867268114718295</v>
      </c>
      <c r="G42" t="s">
        <v>59</v>
      </c>
      <c r="H42">
        <f>(H41/SQRT(3))</f>
        <v>2.0843805539897575</v>
      </c>
      <c r="I42">
        <f>(I41/SQRT(3))</f>
        <v>2.0843805539897593</v>
      </c>
      <c r="L42" t="s">
        <v>59</v>
      </c>
      <c r="M42">
        <f>(M41/SQRT(3))</f>
        <v>1.0525522921334409</v>
      </c>
      <c r="N42">
        <f>(N41/SQRT(3))</f>
        <v>1.0525522921334365</v>
      </c>
      <c r="Q42" t="s">
        <v>59</v>
      </c>
      <c r="R42">
        <f>(R41/SQRT(3))</f>
        <v>3.1570550834692535</v>
      </c>
      <c r="S42">
        <f>(S41/SQRT(3))</f>
        <v>3.157055083469237</v>
      </c>
      <c r="W42" s="167" t="s">
        <v>54</v>
      </c>
      <c r="X42" s="167"/>
    </row>
    <row r="46" spans="1:24" x14ac:dyDescent="0.2">
      <c r="A46" t="s">
        <v>31</v>
      </c>
      <c r="E46" s="110" t="s">
        <v>346</v>
      </c>
      <c r="F46" s="110"/>
      <c r="J46" t="s">
        <v>31</v>
      </c>
      <c r="M46" s="110" t="s">
        <v>348</v>
      </c>
      <c r="N46" s="110"/>
      <c r="O46" s="59"/>
      <c r="S46" t="s">
        <v>31</v>
      </c>
      <c r="W46" s="110" t="s">
        <v>352</v>
      </c>
      <c r="X46" s="110"/>
    </row>
    <row r="48" spans="1:24" ht="16" thickBot="1" x14ac:dyDescent="0.25">
      <c r="A48" t="s">
        <v>34</v>
      </c>
      <c r="J48" t="s">
        <v>34</v>
      </c>
      <c r="S48" t="s">
        <v>34</v>
      </c>
    </row>
    <row r="49" spans="1:25" x14ac:dyDescent="0.2">
      <c r="A49" s="3" t="s">
        <v>35</v>
      </c>
      <c r="B49" s="3" t="s">
        <v>36</v>
      </c>
      <c r="C49" s="3" t="s">
        <v>37</v>
      </c>
      <c r="D49" s="3" t="s">
        <v>38</v>
      </c>
      <c r="E49" s="3" t="s">
        <v>39</v>
      </c>
      <c r="J49" s="3" t="s">
        <v>35</v>
      </c>
      <c r="K49" s="3" t="s">
        <v>36</v>
      </c>
      <c r="L49" s="3" t="s">
        <v>37</v>
      </c>
      <c r="M49" s="3" t="s">
        <v>38</v>
      </c>
      <c r="N49" s="3" t="s">
        <v>39</v>
      </c>
      <c r="S49" s="3" t="s">
        <v>35</v>
      </c>
      <c r="T49" s="3" t="s">
        <v>36</v>
      </c>
      <c r="U49" s="3" t="s">
        <v>37</v>
      </c>
      <c r="V49" s="3" t="s">
        <v>38</v>
      </c>
      <c r="W49" s="3" t="s">
        <v>39</v>
      </c>
    </row>
    <row r="50" spans="1:25" x14ac:dyDescent="0.2">
      <c r="A50" t="s">
        <v>41</v>
      </c>
      <c r="B50">
        <v>3</v>
      </c>
      <c r="C50">
        <v>122.60843912434225</v>
      </c>
      <c r="D50">
        <v>40.869479708114085</v>
      </c>
      <c r="E50">
        <v>17.051683827403185</v>
      </c>
      <c r="J50" t="s">
        <v>41</v>
      </c>
      <c r="K50">
        <v>3</v>
      </c>
      <c r="L50">
        <v>122.60843912434225</v>
      </c>
      <c r="M50">
        <v>40.869479708114085</v>
      </c>
      <c r="N50">
        <v>17.051683827403185</v>
      </c>
      <c r="S50" t="s">
        <v>41</v>
      </c>
      <c r="T50">
        <v>3</v>
      </c>
      <c r="U50">
        <v>122.60843912434225</v>
      </c>
      <c r="V50">
        <v>40.869479708114085</v>
      </c>
      <c r="W50">
        <v>17.051683827403185</v>
      </c>
    </row>
    <row r="51" spans="1:25" ht="16" thickBot="1" x14ac:dyDescent="0.25">
      <c r="A51" s="4" t="s">
        <v>42</v>
      </c>
      <c r="B51" s="4">
        <v>3</v>
      </c>
      <c r="C51" s="4">
        <v>172.37459339154253</v>
      </c>
      <c r="D51" s="4">
        <v>57.458197797180844</v>
      </c>
      <c r="E51" s="4">
        <v>39.241888394720945</v>
      </c>
      <c r="J51" s="4" t="s">
        <v>42</v>
      </c>
      <c r="K51" s="4">
        <v>3</v>
      </c>
      <c r="L51" s="4">
        <v>173.24853623080898</v>
      </c>
      <c r="M51" s="4">
        <v>57.749512076936327</v>
      </c>
      <c r="N51" s="4">
        <v>12.595938030788226</v>
      </c>
      <c r="S51" s="4" t="s">
        <v>42</v>
      </c>
      <c r="T51" s="4">
        <v>3</v>
      </c>
      <c r="U51" s="4">
        <v>190.56648777579011</v>
      </c>
      <c r="V51" s="4">
        <v>63.522162591930034</v>
      </c>
      <c r="W51" s="4">
        <v>8.7122215549223867</v>
      </c>
    </row>
    <row r="54" spans="1:25" ht="16" thickBot="1" x14ac:dyDescent="0.25">
      <c r="A54" t="s">
        <v>44</v>
      </c>
      <c r="J54" t="s">
        <v>44</v>
      </c>
      <c r="S54" t="s">
        <v>44</v>
      </c>
    </row>
    <row r="55" spans="1:25" x14ac:dyDescent="0.2">
      <c r="A55" s="3" t="s">
        <v>45</v>
      </c>
      <c r="B55" s="3" t="s">
        <v>46</v>
      </c>
      <c r="C55" s="3" t="s">
        <v>47</v>
      </c>
      <c r="D55" s="3" t="s">
        <v>48</v>
      </c>
      <c r="E55" s="3" t="s">
        <v>49</v>
      </c>
      <c r="F55" s="3" t="s">
        <v>50</v>
      </c>
      <c r="G55" s="3" t="s">
        <v>51</v>
      </c>
      <c r="J55" s="3" t="s">
        <v>45</v>
      </c>
      <c r="K55" s="3" t="s">
        <v>46</v>
      </c>
      <c r="L55" s="3" t="s">
        <v>47</v>
      </c>
      <c r="M55" s="3" t="s">
        <v>48</v>
      </c>
      <c r="N55" s="3" t="s">
        <v>49</v>
      </c>
      <c r="O55" s="3" t="s">
        <v>50</v>
      </c>
      <c r="P55" s="3" t="s">
        <v>51</v>
      </c>
      <c r="S55" s="3" t="s">
        <v>45</v>
      </c>
      <c r="T55" s="3" t="s">
        <v>46</v>
      </c>
      <c r="U55" s="3" t="s">
        <v>47</v>
      </c>
      <c r="V55" s="3" t="s">
        <v>48</v>
      </c>
      <c r="W55" s="3" t="s">
        <v>49</v>
      </c>
      <c r="X55" s="3" t="s">
        <v>50</v>
      </c>
      <c r="Y55" s="3" t="s">
        <v>51</v>
      </c>
    </row>
    <row r="56" spans="1:25" x14ac:dyDescent="0.2">
      <c r="A56" t="s">
        <v>52</v>
      </c>
      <c r="B56">
        <v>412.77835175779626</v>
      </c>
      <c r="C56">
        <v>1</v>
      </c>
      <c r="D56">
        <v>412.77835175779626</v>
      </c>
      <c r="E56">
        <v>14.665203697823562</v>
      </c>
      <c r="F56">
        <v>1.8625792732306194E-2</v>
      </c>
      <c r="G56">
        <v>7.708647422176786</v>
      </c>
      <c r="J56" t="s">
        <v>52</v>
      </c>
      <c r="K56">
        <v>427.40323915872983</v>
      </c>
      <c r="L56">
        <v>1</v>
      </c>
      <c r="M56">
        <v>427.40323915872983</v>
      </c>
      <c r="N56">
        <v>28.83221063753831</v>
      </c>
      <c r="O56">
        <v>5.8090145066413169E-3</v>
      </c>
      <c r="P56">
        <v>7.708647422176786</v>
      </c>
      <c r="S56" t="s">
        <v>52</v>
      </c>
      <c r="T56">
        <v>769.71606275209206</v>
      </c>
      <c r="U56">
        <v>1</v>
      </c>
      <c r="V56">
        <v>769.71606275209206</v>
      </c>
      <c r="W56">
        <v>59.751505164285298</v>
      </c>
      <c r="X56">
        <v>1.5082988496577308E-3</v>
      </c>
      <c r="Y56">
        <v>7.708647422176786</v>
      </c>
    </row>
    <row r="57" spans="1:25" x14ac:dyDescent="0.2">
      <c r="A57" t="s">
        <v>53</v>
      </c>
      <c r="B57">
        <v>112.58714444424825</v>
      </c>
      <c r="C57">
        <v>4</v>
      </c>
      <c r="D57">
        <v>28.146786111062063</v>
      </c>
      <c r="J57" t="s">
        <v>53</v>
      </c>
      <c r="K57">
        <v>59.295243716382821</v>
      </c>
      <c r="L57">
        <v>4</v>
      </c>
      <c r="M57">
        <v>14.823810929095705</v>
      </c>
      <c r="S57" t="s">
        <v>53</v>
      </c>
      <c r="T57">
        <v>51.527810764651143</v>
      </c>
      <c r="U57">
        <v>4</v>
      </c>
      <c r="V57">
        <v>12.881952691162786</v>
      </c>
    </row>
    <row r="59" spans="1:25" ht="16" thickBot="1" x14ac:dyDescent="0.25">
      <c r="A59" s="4" t="s">
        <v>55</v>
      </c>
      <c r="B59" s="4">
        <v>525.36549620204448</v>
      </c>
      <c r="C59" s="4">
        <v>5</v>
      </c>
      <c r="D59" s="4"/>
      <c r="E59" s="4"/>
      <c r="F59" s="4"/>
      <c r="G59" s="4"/>
      <c r="J59" s="4" t="s">
        <v>55</v>
      </c>
      <c r="K59" s="4">
        <v>486.69848287511263</v>
      </c>
      <c r="L59" s="4">
        <v>5</v>
      </c>
      <c r="M59" s="4"/>
      <c r="N59" s="4"/>
      <c r="O59" s="4"/>
      <c r="P59" s="4"/>
      <c r="S59" s="4" t="s">
        <v>55</v>
      </c>
      <c r="T59" s="4">
        <v>821.24387351674318</v>
      </c>
      <c r="U59" s="4">
        <v>5</v>
      </c>
      <c r="V59" s="4"/>
      <c r="W59" s="4"/>
      <c r="X59" s="4"/>
      <c r="Y59" s="4"/>
    </row>
    <row r="62" spans="1:25" x14ac:dyDescent="0.2">
      <c r="A62" t="s">
        <v>31</v>
      </c>
      <c r="E62" s="110" t="s">
        <v>350</v>
      </c>
      <c r="F62" s="110"/>
      <c r="J62" t="s">
        <v>31</v>
      </c>
      <c r="M62" s="110" t="s">
        <v>349</v>
      </c>
      <c r="N62" s="110"/>
      <c r="O62" s="59"/>
      <c r="P62" s="59"/>
      <c r="S62" t="s">
        <v>31</v>
      </c>
      <c r="W62" s="110" t="s">
        <v>353</v>
      </c>
      <c r="X62" s="110"/>
    </row>
    <row r="64" spans="1:25" ht="16" thickBot="1" x14ac:dyDescent="0.25">
      <c r="A64" t="s">
        <v>34</v>
      </c>
      <c r="J64" t="s">
        <v>34</v>
      </c>
      <c r="S64" t="s">
        <v>34</v>
      </c>
    </row>
    <row r="65" spans="1:25" x14ac:dyDescent="0.2">
      <c r="A65" s="3" t="s">
        <v>35</v>
      </c>
      <c r="B65" s="3" t="s">
        <v>36</v>
      </c>
      <c r="C65" s="3" t="s">
        <v>37</v>
      </c>
      <c r="D65" s="3" t="s">
        <v>38</v>
      </c>
      <c r="E65" s="3" t="s">
        <v>39</v>
      </c>
      <c r="J65" s="3" t="s">
        <v>35</v>
      </c>
      <c r="K65" s="3" t="s">
        <v>36</v>
      </c>
      <c r="L65" s="3" t="s">
        <v>37</v>
      </c>
      <c r="M65" s="3" t="s">
        <v>38</v>
      </c>
      <c r="N65" s="3" t="s">
        <v>39</v>
      </c>
      <c r="S65" s="3" t="s">
        <v>35</v>
      </c>
      <c r="T65" s="3" t="s">
        <v>36</v>
      </c>
      <c r="U65" s="3" t="s">
        <v>37</v>
      </c>
      <c r="V65" s="3" t="s">
        <v>38</v>
      </c>
      <c r="W65" s="3" t="s">
        <v>39</v>
      </c>
    </row>
    <row r="66" spans="1:25" x14ac:dyDescent="0.2">
      <c r="A66" t="s">
        <v>41</v>
      </c>
      <c r="B66">
        <v>3</v>
      </c>
      <c r="C66">
        <v>128.29107505070994</v>
      </c>
      <c r="D66">
        <v>42.763691683569981</v>
      </c>
      <c r="E66">
        <v>35.179814564141907</v>
      </c>
      <c r="J66" t="s">
        <v>41</v>
      </c>
      <c r="K66">
        <v>3</v>
      </c>
      <c r="L66">
        <v>128.29107505070994</v>
      </c>
      <c r="M66">
        <v>42.763691683569981</v>
      </c>
      <c r="N66">
        <v>35.179814564141907</v>
      </c>
      <c r="S66" t="s">
        <v>41</v>
      </c>
      <c r="T66">
        <v>3</v>
      </c>
      <c r="U66">
        <v>128.29107505070994</v>
      </c>
      <c r="V66">
        <v>42.763691683569981</v>
      </c>
      <c r="W66">
        <v>35.179814564141907</v>
      </c>
    </row>
    <row r="67" spans="1:25" ht="16" thickBot="1" x14ac:dyDescent="0.25">
      <c r="A67" s="4" t="s">
        <v>42</v>
      </c>
      <c r="B67" s="4">
        <v>3</v>
      </c>
      <c r="C67" s="4">
        <v>183.93337229690241</v>
      </c>
      <c r="D67" s="4">
        <v>61.311124098967468</v>
      </c>
      <c r="E67" s="4">
        <v>1.2997458714500554</v>
      </c>
      <c r="J67" s="4" t="s">
        <v>42</v>
      </c>
      <c r="K67" s="4">
        <v>3</v>
      </c>
      <c r="L67" s="4">
        <v>191.16364319477657</v>
      </c>
      <c r="M67" s="4">
        <v>63.721214398258859</v>
      </c>
      <c r="N67" s="4">
        <v>37.979639389942108</v>
      </c>
      <c r="S67" s="4" t="s">
        <v>42</v>
      </c>
      <c r="T67" s="4">
        <v>3</v>
      </c>
      <c r="U67" s="4">
        <v>201.20650490449148</v>
      </c>
      <c r="V67" s="4">
        <v>67.068834968163827</v>
      </c>
      <c r="W67" s="4">
        <v>22.868628800859852</v>
      </c>
    </row>
    <row r="70" spans="1:25" ht="16" thickBot="1" x14ac:dyDescent="0.25">
      <c r="A70" t="s">
        <v>44</v>
      </c>
      <c r="J70" t="s">
        <v>44</v>
      </c>
      <c r="S70" t="s">
        <v>44</v>
      </c>
    </row>
    <row r="71" spans="1:25" x14ac:dyDescent="0.2">
      <c r="A71" s="3" t="s">
        <v>45</v>
      </c>
      <c r="B71" s="3" t="s">
        <v>46</v>
      </c>
      <c r="C71" s="3" t="s">
        <v>47</v>
      </c>
      <c r="D71" s="3" t="s">
        <v>48</v>
      </c>
      <c r="E71" s="3" t="s">
        <v>49</v>
      </c>
      <c r="F71" s="3" t="s">
        <v>50</v>
      </c>
      <c r="G71" s="3" t="s">
        <v>51</v>
      </c>
      <c r="J71" s="3" t="s">
        <v>45</v>
      </c>
      <c r="K71" s="3" t="s">
        <v>46</v>
      </c>
      <c r="L71" s="3" t="s">
        <v>47</v>
      </c>
      <c r="M71" s="3" t="s">
        <v>48</v>
      </c>
      <c r="N71" s="3" t="s">
        <v>49</v>
      </c>
      <c r="O71" s="3" t="s">
        <v>50</v>
      </c>
      <c r="P71" s="3" t="s">
        <v>51</v>
      </c>
      <c r="S71" s="3" t="s">
        <v>45</v>
      </c>
      <c r="T71" s="3" t="s">
        <v>46</v>
      </c>
      <c r="U71" s="3" t="s">
        <v>47</v>
      </c>
      <c r="V71" s="3" t="s">
        <v>48</v>
      </c>
      <c r="W71" s="3" t="s">
        <v>49</v>
      </c>
      <c r="X71" s="3" t="s">
        <v>50</v>
      </c>
      <c r="Y71" s="3" t="s">
        <v>51</v>
      </c>
    </row>
    <row r="72" spans="1:25" x14ac:dyDescent="0.2">
      <c r="A72" t="s">
        <v>52</v>
      </c>
      <c r="B72">
        <v>516.01087380560614</v>
      </c>
      <c r="C72">
        <v>1</v>
      </c>
      <c r="D72">
        <v>516.01087380560614</v>
      </c>
      <c r="E72">
        <v>28.290410720089589</v>
      </c>
      <c r="F72">
        <v>6.0101271724268364E-3</v>
      </c>
      <c r="G72">
        <v>7.708647422176786</v>
      </c>
      <c r="J72" t="s">
        <v>52</v>
      </c>
      <c r="K72">
        <v>658.82663750505048</v>
      </c>
      <c r="L72">
        <v>1</v>
      </c>
      <c r="M72">
        <v>658.82663750505048</v>
      </c>
      <c r="N72">
        <v>18.010704068910762</v>
      </c>
      <c r="O72">
        <v>1.3222273294312975E-2</v>
      </c>
      <c r="P72">
        <v>7.708647422176786</v>
      </c>
      <c r="S72" t="s">
        <v>52</v>
      </c>
      <c r="T72">
        <v>886.1099851269563</v>
      </c>
      <c r="U72">
        <v>1</v>
      </c>
      <c r="V72">
        <v>886.1099851269563</v>
      </c>
      <c r="W72">
        <v>30.530017129148813</v>
      </c>
      <c r="X72">
        <v>5.2402393751859516E-3</v>
      </c>
      <c r="Y72">
        <v>7.708647422176786</v>
      </c>
    </row>
    <row r="73" spans="1:25" x14ac:dyDescent="0.2">
      <c r="A73" t="s">
        <v>53</v>
      </c>
      <c r="B73">
        <v>72.95912087118289</v>
      </c>
      <c r="C73">
        <v>4</v>
      </c>
      <c r="D73">
        <v>18.239780217795722</v>
      </c>
      <c r="J73" t="s">
        <v>53</v>
      </c>
      <c r="K73">
        <v>146.31890790816698</v>
      </c>
      <c r="L73">
        <v>4</v>
      </c>
      <c r="M73">
        <v>36.579726977041744</v>
      </c>
      <c r="S73" t="s">
        <v>53</v>
      </c>
      <c r="T73">
        <v>116.09688673000248</v>
      </c>
      <c r="U73">
        <v>4</v>
      </c>
      <c r="V73">
        <v>29.02422168250062</v>
      </c>
    </row>
    <row r="75" spans="1:25" ht="16" thickBot="1" x14ac:dyDescent="0.25">
      <c r="A75" s="4" t="s">
        <v>55</v>
      </c>
      <c r="B75" s="4">
        <v>588.96999467678904</v>
      </c>
      <c r="C75" s="4">
        <v>5</v>
      </c>
      <c r="D75" s="4"/>
      <c r="E75" s="4"/>
      <c r="F75" s="4"/>
      <c r="G75" s="4"/>
      <c r="J75" s="4" t="s">
        <v>55</v>
      </c>
      <c r="K75" s="4">
        <v>805.14554541321741</v>
      </c>
      <c r="L75" s="4">
        <v>5</v>
      </c>
      <c r="M75" s="4"/>
      <c r="N75" s="4"/>
      <c r="O75" s="4"/>
      <c r="P75" s="4"/>
      <c r="S75" s="4" t="s">
        <v>55</v>
      </c>
      <c r="T75" s="4">
        <v>1002.2068718569587</v>
      </c>
      <c r="U75" s="4">
        <v>5</v>
      </c>
      <c r="V75" s="4"/>
      <c r="W75" s="4"/>
      <c r="X75" s="4"/>
      <c r="Y75" s="4"/>
    </row>
    <row r="77" spans="1:25" x14ac:dyDescent="0.2">
      <c r="A77" t="s">
        <v>31</v>
      </c>
      <c r="E77" s="127" t="s">
        <v>347</v>
      </c>
      <c r="F77" s="127"/>
      <c r="J77" t="s">
        <v>31</v>
      </c>
      <c r="M77" s="110" t="s">
        <v>351</v>
      </c>
      <c r="N77" s="110"/>
      <c r="O77" s="59"/>
      <c r="P77" s="59"/>
    </row>
    <row r="78" spans="1:25" x14ac:dyDescent="0.2">
      <c r="S78" t="s">
        <v>31</v>
      </c>
      <c r="W78" s="110" t="s">
        <v>354</v>
      </c>
      <c r="X78" s="110"/>
    </row>
    <row r="79" spans="1:25" ht="16" thickBot="1" x14ac:dyDescent="0.25">
      <c r="A79" t="s">
        <v>34</v>
      </c>
      <c r="J79" t="s">
        <v>34</v>
      </c>
    </row>
    <row r="80" spans="1:25" ht="16" thickBot="1" x14ac:dyDescent="0.25">
      <c r="A80" s="3" t="s">
        <v>35</v>
      </c>
      <c r="B80" s="3" t="s">
        <v>36</v>
      </c>
      <c r="C80" s="3" t="s">
        <v>37</v>
      </c>
      <c r="D80" s="3" t="s">
        <v>38</v>
      </c>
      <c r="E80" s="3" t="s">
        <v>39</v>
      </c>
      <c r="J80" s="3" t="s">
        <v>35</v>
      </c>
      <c r="K80" s="3" t="s">
        <v>36</v>
      </c>
      <c r="L80" s="3" t="s">
        <v>37</v>
      </c>
      <c r="M80" s="3" t="s">
        <v>38</v>
      </c>
      <c r="N80" s="3" t="s">
        <v>39</v>
      </c>
      <c r="S80" t="s">
        <v>34</v>
      </c>
    </row>
    <row r="81" spans="1:25" x14ac:dyDescent="0.2">
      <c r="A81" t="s">
        <v>41</v>
      </c>
      <c r="B81">
        <v>3</v>
      </c>
      <c r="C81">
        <v>145.21383988422372</v>
      </c>
      <c r="D81">
        <v>48.404613294741239</v>
      </c>
      <c r="E81">
        <v>23.297538965327846</v>
      </c>
      <c r="J81" t="s">
        <v>41</v>
      </c>
      <c r="K81">
        <v>3</v>
      </c>
      <c r="L81">
        <v>145.21383988422372</v>
      </c>
      <c r="M81">
        <v>48.404613294741239</v>
      </c>
      <c r="N81">
        <v>23.297538965327846</v>
      </c>
      <c r="S81" s="3" t="s">
        <v>35</v>
      </c>
      <c r="T81" s="3" t="s">
        <v>36</v>
      </c>
      <c r="U81" s="3" t="s">
        <v>37</v>
      </c>
      <c r="V81" s="3" t="s">
        <v>38</v>
      </c>
      <c r="W81" s="3" t="s">
        <v>39</v>
      </c>
    </row>
    <row r="82" spans="1:25" ht="16" thickBot="1" x14ac:dyDescent="0.25">
      <c r="A82" s="4" t="s">
        <v>42</v>
      </c>
      <c r="B82" s="4">
        <v>3</v>
      </c>
      <c r="C82" s="4">
        <v>172.50577826759118</v>
      </c>
      <c r="D82" s="4">
        <v>57.501926089197063</v>
      </c>
      <c r="E82" s="4">
        <v>13.033926881551945</v>
      </c>
      <c r="J82" s="4" t="s">
        <v>42</v>
      </c>
      <c r="K82" s="4">
        <v>3</v>
      </c>
      <c r="L82" s="4">
        <v>186.23105965947838</v>
      </c>
      <c r="M82" s="4">
        <v>62.077019886492792</v>
      </c>
      <c r="N82" s="4">
        <v>3.3235989830260806</v>
      </c>
      <c r="S82" t="s">
        <v>41</v>
      </c>
      <c r="T82">
        <v>3</v>
      </c>
      <c r="U82">
        <v>145.21383988422372</v>
      </c>
      <c r="V82">
        <v>48.404613294741239</v>
      </c>
      <c r="W82">
        <v>23.297538965327846</v>
      </c>
    </row>
    <row r="83" spans="1:25" ht="16" thickBot="1" x14ac:dyDescent="0.25">
      <c r="S83" s="4" t="s">
        <v>42</v>
      </c>
      <c r="T83" s="4">
        <v>3</v>
      </c>
      <c r="U83" s="4">
        <v>187.035990423486</v>
      </c>
      <c r="V83" s="4">
        <v>62.345330141162002</v>
      </c>
      <c r="W83" s="4">
        <v>29.900990400177164</v>
      </c>
    </row>
    <row r="85" spans="1:25" ht="16" thickBot="1" x14ac:dyDescent="0.25">
      <c r="A85" t="s">
        <v>44</v>
      </c>
      <c r="J85" t="s">
        <v>44</v>
      </c>
    </row>
    <row r="86" spans="1:25" ht="16" thickBot="1" x14ac:dyDescent="0.25">
      <c r="A86" s="3" t="s">
        <v>45</v>
      </c>
      <c r="B86" s="3" t="s">
        <v>46</v>
      </c>
      <c r="C86" s="3" t="s">
        <v>47</v>
      </c>
      <c r="D86" s="3" t="s">
        <v>48</v>
      </c>
      <c r="E86" s="3" t="s">
        <v>49</v>
      </c>
      <c r="F86" s="3" t="s">
        <v>50</v>
      </c>
      <c r="G86" s="3" t="s">
        <v>51</v>
      </c>
      <c r="J86" s="3" t="s">
        <v>45</v>
      </c>
      <c r="K86" s="3" t="s">
        <v>46</v>
      </c>
      <c r="L86" s="3" t="s">
        <v>47</v>
      </c>
      <c r="M86" s="3" t="s">
        <v>48</v>
      </c>
      <c r="N86" s="3" t="s">
        <v>49</v>
      </c>
      <c r="O86" s="3" t="s">
        <v>50</v>
      </c>
      <c r="P86" s="3" t="s">
        <v>51</v>
      </c>
      <c r="S86" t="s">
        <v>44</v>
      </c>
    </row>
    <row r="87" spans="1:25" x14ac:dyDescent="0.2">
      <c r="A87" t="s">
        <v>52</v>
      </c>
      <c r="B87">
        <v>124.14165012025452</v>
      </c>
      <c r="C87">
        <v>1</v>
      </c>
      <c r="D87">
        <v>124.14165012025452</v>
      </c>
      <c r="E87">
        <v>6.8338365781030559</v>
      </c>
      <c r="F87">
        <v>5.9160854082857893E-2</v>
      </c>
      <c r="G87">
        <v>7.708647422176786</v>
      </c>
      <c r="J87" t="s">
        <v>52</v>
      </c>
      <c r="K87">
        <v>280.40205301525725</v>
      </c>
      <c r="L87">
        <v>1</v>
      </c>
      <c r="M87">
        <v>280.40205301525725</v>
      </c>
      <c r="N87">
        <v>21.066120731521579</v>
      </c>
      <c r="O87">
        <v>1.0108469544794791E-2</v>
      </c>
      <c r="P87">
        <v>7.708647422176786</v>
      </c>
      <c r="S87" s="3" t="s">
        <v>45</v>
      </c>
      <c r="T87" s="3" t="s">
        <v>46</v>
      </c>
      <c r="U87" s="3" t="s">
        <v>47</v>
      </c>
      <c r="V87" s="3" t="s">
        <v>48</v>
      </c>
      <c r="W87" s="3" t="s">
        <v>49</v>
      </c>
      <c r="X87" s="3" t="s">
        <v>50</v>
      </c>
      <c r="Y87" s="3" t="s">
        <v>51</v>
      </c>
    </row>
    <row r="88" spans="1:25" x14ac:dyDescent="0.2">
      <c r="A88" t="s">
        <v>53</v>
      </c>
      <c r="B88">
        <v>72.662931693759589</v>
      </c>
      <c r="C88">
        <v>4</v>
      </c>
      <c r="D88">
        <v>18.165732923439897</v>
      </c>
      <c r="J88" t="s">
        <v>53</v>
      </c>
      <c r="K88">
        <v>53.242275896707852</v>
      </c>
      <c r="L88">
        <v>4</v>
      </c>
      <c r="M88">
        <v>13.310568974176963</v>
      </c>
      <c r="S88" t="s">
        <v>52</v>
      </c>
      <c r="T88">
        <v>291.51537928811973</v>
      </c>
      <c r="U88">
        <v>1</v>
      </c>
      <c r="V88">
        <v>291.51537928811973</v>
      </c>
      <c r="W88">
        <v>10.959527745033649</v>
      </c>
      <c r="X88">
        <v>2.9640080942982271E-2</v>
      </c>
      <c r="Y88">
        <v>7.708647422176786</v>
      </c>
    </row>
    <row r="89" spans="1:25" x14ac:dyDescent="0.2">
      <c r="S89" t="s">
        <v>53</v>
      </c>
      <c r="T89">
        <v>106.39705873101002</v>
      </c>
      <c r="U89">
        <v>4</v>
      </c>
      <c r="V89">
        <v>26.599264682752505</v>
      </c>
    </row>
    <row r="90" spans="1:25" ht="16" thickBot="1" x14ac:dyDescent="0.25">
      <c r="A90" s="4" t="s">
        <v>55</v>
      </c>
      <c r="B90" s="4">
        <v>196.80458181401411</v>
      </c>
      <c r="C90" s="4">
        <v>5</v>
      </c>
      <c r="D90" s="4"/>
      <c r="E90" s="4"/>
      <c r="F90" s="4"/>
      <c r="G90" s="4"/>
      <c r="J90" s="4" t="s">
        <v>55</v>
      </c>
      <c r="K90" s="4">
        <v>333.64432891196509</v>
      </c>
      <c r="L90" s="4">
        <v>5</v>
      </c>
      <c r="M90" s="4"/>
      <c r="N90" s="4"/>
      <c r="O90" s="4"/>
      <c r="P90" s="4"/>
    </row>
    <row r="91" spans="1:25" ht="16" thickBot="1" x14ac:dyDescent="0.25">
      <c r="S91" s="4" t="s">
        <v>55</v>
      </c>
      <c r="T91" s="4">
        <v>397.91243801912975</v>
      </c>
      <c r="U91" s="4">
        <v>5</v>
      </c>
      <c r="V91" s="4"/>
      <c r="W91" s="4"/>
      <c r="X91" s="4"/>
      <c r="Y91" s="4"/>
    </row>
  </sheetData>
  <mergeCells count="27">
    <mergeCell ref="W41:X41"/>
    <mergeCell ref="W42:X42"/>
    <mergeCell ref="M77:N77"/>
    <mergeCell ref="W78:X78"/>
    <mergeCell ref="M46:N46"/>
    <mergeCell ref="M62:N62"/>
    <mergeCell ref="W46:X46"/>
    <mergeCell ref="W62:X62"/>
    <mergeCell ref="E46:F46"/>
    <mergeCell ref="E62:F62"/>
    <mergeCell ref="E77:F77"/>
    <mergeCell ref="B19:E19"/>
    <mergeCell ref="G19:J19"/>
    <mergeCell ref="L19:O19"/>
    <mergeCell ref="Q19:T19"/>
    <mergeCell ref="B28:E28"/>
    <mergeCell ref="G28:J28"/>
    <mergeCell ref="L28:O28"/>
    <mergeCell ref="Q28:T28"/>
    <mergeCell ref="B1:E1"/>
    <mergeCell ref="G1:J1"/>
    <mergeCell ref="L1:O1"/>
    <mergeCell ref="Q1:T1"/>
    <mergeCell ref="B10:E10"/>
    <mergeCell ref="G10:J10"/>
    <mergeCell ref="L10:O10"/>
    <mergeCell ref="Q10:T10"/>
  </mergeCells>
  <pageMargins left="0.7" right="0.7" top="0.75" bottom="0.75" header="0.3" footer="0.3"/>
  <ignoredErrors>
    <ignoredError sqref="C38:S40 C41:S41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8E27-B07B-9443-B632-414262A59D7E}">
  <sheetPr>
    <tabColor rgb="FF00B050"/>
  </sheetPr>
  <dimension ref="A1:Z92"/>
  <sheetViews>
    <sheetView topLeftCell="D27" workbookViewId="0">
      <selection activeCell="Y35" sqref="Y35:Z36"/>
    </sheetView>
  </sheetViews>
  <sheetFormatPr baseColWidth="10" defaultRowHeight="15" x14ac:dyDescent="0.2"/>
  <cols>
    <col min="1" max="1" width="8.83203125" customWidth="1"/>
    <col min="2" max="2" width="8.33203125" customWidth="1"/>
    <col min="11" max="11" width="7.83203125" customWidth="1"/>
    <col min="12" max="12" width="2.1640625" style="83" customWidth="1"/>
    <col min="13" max="13" width="7.6640625" customWidth="1"/>
    <col min="14" max="14" width="10" customWidth="1"/>
    <col min="15" max="15" width="9.6640625" customWidth="1"/>
  </cols>
  <sheetData>
    <row r="1" spans="1:23" x14ac:dyDescent="0.2">
      <c r="A1" s="14" t="s">
        <v>113</v>
      </c>
      <c r="B1" s="110" t="s">
        <v>316</v>
      </c>
      <c r="C1" s="110"/>
      <c r="D1" s="110"/>
      <c r="E1" s="110"/>
      <c r="F1" s="59"/>
      <c r="G1" s="142" t="s">
        <v>295</v>
      </c>
      <c r="H1" s="142"/>
      <c r="I1" s="142"/>
      <c r="J1" s="142"/>
      <c r="K1" s="59"/>
      <c r="L1" s="98"/>
      <c r="M1" s="59"/>
      <c r="N1" s="14" t="s">
        <v>113</v>
      </c>
      <c r="O1" s="110" t="s">
        <v>316</v>
      </c>
      <c r="P1" s="110"/>
      <c r="Q1" s="110"/>
      <c r="R1" s="110"/>
      <c r="S1" s="59"/>
      <c r="T1" s="142" t="s">
        <v>317</v>
      </c>
      <c r="U1" s="142"/>
      <c r="V1" s="142"/>
      <c r="W1" s="142"/>
    </row>
    <row r="2" spans="1:23" x14ac:dyDescent="0.2">
      <c r="C2" t="s">
        <v>279</v>
      </c>
      <c r="D2" t="s">
        <v>280</v>
      </c>
      <c r="E2" t="s">
        <v>55</v>
      </c>
      <c r="H2" t="s">
        <v>279</v>
      </c>
      <c r="I2" t="s">
        <v>280</v>
      </c>
      <c r="J2" t="s">
        <v>55</v>
      </c>
      <c r="P2" t="s">
        <v>279</v>
      </c>
      <c r="Q2" t="s">
        <v>280</v>
      </c>
      <c r="R2" t="s">
        <v>55</v>
      </c>
      <c r="U2" t="s">
        <v>279</v>
      </c>
      <c r="V2" t="s">
        <v>280</v>
      </c>
      <c r="W2" t="s">
        <v>55</v>
      </c>
    </row>
    <row r="3" spans="1:23" x14ac:dyDescent="0.2">
      <c r="B3" t="s">
        <v>281</v>
      </c>
      <c r="C3">
        <v>12</v>
      </c>
      <c r="D3">
        <v>124</v>
      </c>
      <c r="E3">
        <f>C3+D3</f>
        <v>136</v>
      </c>
      <c r="G3" t="s">
        <v>66</v>
      </c>
      <c r="H3">
        <v>91</v>
      </c>
      <c r="I3">
        <v>69</v>
      </c>
      <c r="J3">
        <f>I3+H3</f>
        <v>160</v>
      </c>
      <c r="O3" t="s">
        <v>281</v>
      </c>
      <c r="P3">
        <v>7</v>
      </c>
      <c r="Q3">
        <f>52+76</f>
        <v>128</v>
      </c>
      <c r="R3">
        <f>P3+Q3</f>
        <v>135</v>
      </c>
      <c r="T3" t="s">
        <v>66</v>
      </c>
      <c r="U3">
        <v>50</v>
      </c>
      <c r="V3">
        <v>111</v>
      </c>
      <c r="W3">
        <f>V3+U3</f>
        <v>161</v>
      </c>
    </row>
    <row r="4" spans="1:23" x14ac:dyDescent="0.2">
      <c r="B4" t="s">
        <v>156</v>
      </c>
      <c r="C4">
        <f>(C3/E3)*100</f>
        <v>8.8235294117647065</v>
      </c>
      <c r="D4">
        <f>(D3/E3)*100</f>
        <v>91.17647058823529</v>
      </c>
      <c r="G4" t="s">
        <v>156</v>
      </c>
      <c r="H4">
        <f>(H3/J3)*100</f>
        <v>56.875</v>
      </c>
      <c r="I4">
        <f>(I3/J3)*100</f>
        <v>43.125</v>
      </c>
      <c r="O4" t="s">
        <v>156</v>
      </c>
      <c r="P4">
        <f>(P3/R3)*100</f>
        <v>5.1851851851851851</v>
      </c>
      <c r="Q4">
        <f>(Q3/R3)*100</f>
        <v>94.814814814814824</v>
      </c>
      <c r="T4" t="s">
        <v>156</v>
      </c>
      <c r="U4">
        <f>(U3/W3)*100</f>
        <v>31.05590062111801</v>
      </c>
      <c r="V4">
        <f>(V3/W3)*100</f>
        <v>68.944099378881987</v>
      </c>
    </row>
    <row r="5" spans="1:23" x14ac:dyDescent="0.2">
      <c r="B5" t="s">
        <v>28</v>
      </c>
      <c r="C5">
        <v>14</v>
      </c>
      <c r="D5">
        <v>123</v>
      </c>
      <c r="E5">
        <f>D5+C5</f>
        <v>137</v>
      </c>
      <c r="G5" t="s">
        <v>28</v>
      </c>
      <c r="H5">
        <v>52</v>
      </c>
      <c r="I5">
        <v>87</v>
      </c>
      <c r="J5">
        <f>I5+H5</f>
        <v>139</v>
      </c>
      <c r="O5" t="s">
        <v>28</v>
      </c>
      <c r="P5">
        <v>1</v>
      </c>
      <c r="Q5">
        <v>89</v>
      </c>
      <c r="R5">
        <f>Q5+P5</f>
        <v>90</v>
      </c>
      <c r="T5" t="s">
        <v>28</v>
      </c>
      <c r="U5">
        <v>8</v>
      </c>
      <c r="V5">
        <v>86</v>
      </c>
      <c r="W5">
        <f>V5+U5</f>
        <v>94</v>
      </c>
    </row>
    <row r="6" spans="1:23" x14ac:dyDescent="0.2">
      <c r="B6" t="s">
        <v>156</v>
      </c>
      <c r="C6">
        <f>(C5/E5)*100</f>
        <v>10.218978102189782</v>
      </c>
      <c r="D6">
        <f>(D5/E5)*100</f>
        <v>89.78102189781022</v>
      </c>
      <c r="G6" t="s">
        <v>156</v>
      </c>
      <c r="H6">
        <f>(H5/J5)*100</f>
        <v>37.410071942446045</v>
      </c>
      <c r="I6">
        <f>(I5/J5)*100</f>
        <v>62.589928057553955</v>
      </c>
      <c r="O6" t="s">
        <v>156</v>
      </c>
      <c r="P6">
        <f>(P5/R5)*100</f>
        <v>1.1111111111111112</v>
      </c>
      <c r="Q6">
        <f>(Q5/R5)*100</f>
        <v>98.888888888888886</v>
      </c>
      <c r="T6" t="s">
        <v>156</v>
      </c>
      <c r="U6">
        <f>(U5/W5)*100</f>
        <v>8.5106382978723403</v>
      </c>
      <c r="V6">
        <f>(V5/W5)*100</f>
        <v>91.489361702127653</v>
      </c>
    </row>
    <row r="7" spans="1:23" x14ac:dyDescent="0.2">
      <c r="B7" t="s">
        <v>30</v>
      </c>
      <c r="C7">
        <v>17</v>
      </c>
      <c r="D7">
        <v>128</v>
      </c>
      <c r="E7">
        <f>D7+C7</f>
        <v>145</v>
      </c>
      <c r="G7" t="s">
        <v>30</v>
      </c>
      <c r="H7">
        <v>28</v>
      </c>
      <c r="I7">
        <v>138</v>
      </c>
      <c r="J7">
        <f>I7+H7</f>
        <v>166</v>
      </c>
      <c r="O7" t="s">
        <v>30</v>
      </c>
      <c r="P7">
        <v>9</v>
      </c>
      <c r="Q7">
        <v>115</v>
      </c>
      <c r="R7">
        <f>Q7+P7</f>
        <v>124</v>
      </c>
      <c r="T7" t="s">
        <v>30</v>
      </c>
      <c r="U7">
        <v>13</v>
      </c>
      <c r="V7">
        <v>60</v>
      </c>
      <c r="W7">
        <f>V7+U7</f>
        <v>73</v>
      </c>
    </row>
    <row r="8" spans="1:23" x14ac:dyDescent="0.2">
      <c r="B8" t="s">
        <v>156</v>
      </c>
      <c r="C8">
        <f>(C7/E7)*100</f>
        <v>11.724137931034482</v>
      </c>
      <c r="D8">
        <f>(D7/E7)*100</f>
        <v>88.275862068965523</v>
      </c>
      <c r="G8" t="s">
        <v>156</v>
      </c>
      <c r="H8">
        <f>(H7/J7)*100</f>
        <v>16.867469879518072</v>
      </c>
      <c r="I8">
        <f>(I7/J7)*100</f>
        <v>83.132530120481931</v>
      </c>
      <c r="O8" t="s">
        <v>156</v>
      </c>
      <c r="P8">
        <f>(P7/R7)*100</f>
        <v>7.2580645161290329</v>
      </c>
      <c r="Q8">
        <f>(Q7/R7)*100</f>
        <v>92.741935483870961</v>
      </c>
      <c r="T8" t="s">
        <v>156</v>
      </c>
      <c r="U8">
        <f>(U7/W7)*100</f>
        <v>17.80821917808219</v>
      </c>
      <c r="V8">
        <f>(V7/W7)*100</f>
        <v>82.191780821917803</v>
      </c>
    </row>
    <row r="10" spans="1:23" x14ac:dyDescent="0.2">
      <c r="A10" s="14" t="s">
        <v>114</v>
      </c>
      <c r="B10" s="110" t="s">
        <v>28</v>
      </c>
      <c r="C10" s="110"/>
      <c r="D10" s="110"/>
      <c r="E10" s="110"/>
      <c r="F10" s="59"/>
      <c r="G10" s="142" t="s">
        <v>295</v>
      </c>
      <c r="H10" s="142"/>
      <c r="I10" s="142"/>
      <c r="J10" s="142"/>
      <c r="K10" s="59"/>
      <c r="L10" s="98"/>
      <c r="M10" s="59"/>
      <c r="N10" s="14" t="s">
        <v>114</v>
      </c>
      <c r="O10" s="110" t="s">
        <v>316</v>
      </c>
      <c r="P10" s="110"/>
      <c r="Q10" s="110"/>
      <c r="R10" s="110"/>
      <c r="S10" s="59"/>
      <c r="T10" s="142" t="s">
        <v>317</v>
      </c>
      <c r="U10" s="142"/>
      <c r="V10" s="142"/>
      <c r="W10" s="142"/>
    </row>
    <row r="11" spans="1:23" x14ac:dyDescent="0.2">
      <c r="C11" t="s">
        <v>279</v>
      </c>
      <c r="D11" t="s">
        <v>280</v>
      </c>
      <c r="E11" t="s">
        <v>55</v>
      </c>
      <c r="H11" t="s">
        <v>279</v>
      </c>
      <c r="I11" t="s">
        <v>280</v>
      </c>
      <c r="J11" t="s">
        <v>55</v>
      </c>
      <c r="P11" t="s">
        <v>279</v>
      </c>
      <c r="Q11" t="s">
        <v>280</v>
      </c>
      <c r="R11" t="s">
        <v>55</v>
      </c>
      <c r="U11" t="s">
        <v>279</v>
      </c>
      <c r="V11" t="s">
        <v>280</v>
      </c>
      <c r="W11" t="s">
        <v>55</v>
      </c>
    </row>
    <row r="12" spans="1:23" x14ac:dyDescent="0.2">
      <c r="B12" t="s">
        <v>281</v>
      </c>
      <c r="C12">
        <v>46</v>
      </c>
      <c r="D12">
        <v>111</v>
      </c>
      <c r="E12">
        <f>D12+C12</f>
        <v>157</v>
      </c>
      <c r="G12" t="s">
        <v>281</v>
      </c>
      <c r="H12">
        <v>102</v>
      </c>
      <c r="I12">
        <v>67</v>
      </c>
      <c r="J12">
        <f>I12+H12</f>
        <v>169</v>
      </c>
      <c r="O12" t="s">
        <v>281</v>
      </c>
      <c r="P12">
        <v>10</v>
      </c>
      <c r="Q12">
        <v>96</v>
      </c>
      <c r="R12">
        <f>Q12+P12</f>
        <v>106</v>
      </c>
      <c r="T12" t="s">
        <v>281</v>
      </c>
      <c r="U12">
        <v>31</v>
      </c>
      <c r="V12">
        <v>84</v>
      </c>
      <c r="W12">
        <f>V12+U12</f>
        <v>115</v>
      </c>
    </row>
    <row r="13" spans="1:23" x14ac:dyDescent="0.2">
      <c r="B13" t="s">
        <v>156</v>
      </c>
      <c r="C13">
        <f>(C12/E12)*100</f>
        <v>29.29936305732484</v>
      </c>
      <c r="D13">
        <f>(D12/E12)*100</f>
        <v>70.70063694267516</v>
      </c>
      <c r="G13" t="s">
        <v>156</v>
      </c>
      <c r="H13">
        <f>(H12/J12)*100</f>
        <v>60.355029585798817</v>
      </c>
      <c r="I13">
        <f>(I12/J12)*100</f>
        <v>39.644970414201183</v>
      </c>
      <c r="O13" t="s">
        <v>156</v>
      </c>
      <c r="P13">
        <f>(P12/R12)*100</f>
        <v>9.433962264150944</v>
      </c>
      <c r="Q13">
        <f>(Q12/R12)*100</f>
        <v>90.566037735849065</v>
      </c>
      <c r="T13" t="s">
        <v>156</v>
      </c>
      <c r="U13">
        <f>(U12/W12)*100</f>
        <v>26.956521739130434</v>
      </c>
      <c r="V13">
        <f>(V12/W12)*100</f>
        <v>73.043478260869563</v>
      </c>
    </row>
    <row r="14" spans="1:23" x14ac:dyDescent="0.2">
      <c r="B14" t="s">
        <v>28</v>
      </c>
      <c r="C14">
        <v>33</v>
      </c>
      <c r="D14">
        <v>112</v>
      </c>
      <c r="E14">
        <f>D14+C14</f>
        <v>145</v>
      </c>
      <c r="G14" t="s">
        <v>28</v>
      </c>
      <c r="H14">
        <v>69</v>
      </c>
      <c r="I14">
        <v>70</v>
      </c>
      <c r="J14">
        <f>I14+H14</f>
        <v>139</v>
      </c>
      <c r="O14" t="s">
        <v>28</v>
      </c>
      <c r="P14">
        <v>6</v>
      </c>
      <c r="Q14">
        <v>125</v>
      </c>
      <c r="R14">
        <f>Q14+P14</f>
        <v>131</v>
      </c>
      <c r="T14" t="s">
        <v>28</v>
      </c>
      <c r="U14">
        <v>26</v>
      </c>
      <c r="V14">
        <v>63</v>
      </c>
      <c r="W14">
        <f>V14+U14</f>
        <v>89</v>
      </c>
    </row>
    <row r="15" spans="1:23" x14ac:dyDescent="0.2">
      <c r="B15" t="s">
        <v>156</v>
      </c>
      <c r="C15">
        <f>(C14/E14)*100</f>
        <v>22.758620689655174</v>
      </c>
      <c r="D15">
        <f>(D14/E14)*100</f>
        <v>77.241379310344826</v>
      </c>
      <c r="G15" t="s">
        <v>156</v>
      </c>
      <c r="H15">
        <f>(H14/J14)*100</f>
        <v>49.640287769784173</v>
      </c>
      <c r="I15">
        <f>(I14/J14)*100</f>
        <v>50.359712230215827</v>
      </c>
      <c r="O15" t="s">
        <v>156</v>
      </c>
      <c r="P15">
        <f>(P14/R14)*100</f>
        <v>4.5801526717557248</v>
      </c>
      <c r="Q15">
        <f>(Q14/R14)*100</f>
        <v>95.419847328244273</v>
      </c>
      <c r="T15" t="s">
        <v>156</v>
      </c>
      <c r="U15">
        <f>(U14/W14)*100</f>
        <v>29.213483146067414</v>
      </c>
      <c r="V15">
        <f>(V14/W14)*100</f>
        <v>70.786516853932582</v>
      </c>
    </row>
    <row r="16" spans="1:23" x14ac:dyDescent="0.2">
      <c r="B16" t="s">
        <v>30</v>
      </c>
      <c r="C16">
        <v>48</v>
      </c>
      <c r="D16">
        <v>114</v>
      </c>
      <c r="E16">
        <f>D16+C16</f>
        <v>162</v>
      </c>
      <c r="G16" t="s">
        <v>30</v>
      </c>
      <c r="H16">
        <v>113</v>
      </c>
      <c r="I16">
        <v>212</v>
      </c>
      <c r="J16">
        <f>I16+H16</f>
        <v>325</v>
      </c>
      <c r="O16" t="s">
        <v>30</v>
      </c>
      <c r="P16">
        <v>7</v>
      </c>
      <c r="Q16">
        <v>97</v>
      </c>
      <c r="R16">
        <f>Q16+P16</f>
        <v>104</v>
      </c>
      <c r="T16" t="s">
        <v>30</v>
      </c>
      <c r="U16">
        <v>27</v>
      </c>
      <c r="V16">
        <v>127</v>
      </c>
      <c r="W16">
        <f>V16+U16</f>
        <v>154</v>
      </c>
    </row>
    <row r="17" spans="1:23" x14ac:dyDescent="0.2">
      <c r="B17" t="s">
        <v>156</v>
      </c>
      <c r="C17">
        <f>(C16/E16)*100</f>
        <v>29.629629629629626</v>
      </c>
      <c r="D17">
        <f>(D16/E16)*100</f>
        <v>70.370370370370367</v>
      </c>
      <c r="G17" t="s">
        <v>156</v>
      </c>
      <c r="H17">
        <f>(H16/J16)*100</f>
        <v>34.769230769230766</v>
      </c>
      <c r="I17">
        <f>(I16/J16)*100</f>
        <v>65.230769230769226</v>
      </c>
      <c r="O17" t="s">
        <v>156</v>
      </c>
      <c r="P17">
        <f>(P16/R16)*100</f>
        <v>6.7307692307692308</v>
      </c>
      <c r="Q17">
        <f>(Q16/R16)*100</f>
        <v>93.269230769230774</v>
      </c>
      <c r="T17" t="s">
        <v>156</v>
      </c>
      <c r="U17">
        <f>(U16/W16)*100</f>
        <v>17.532467532467532</v>
      </c>
      <c r="V17">
        <f>(V16/W16)*100</f>
        <v>82.467532467532465</v>
      </c>
    </row>
    <row r="19" spans="1:23" x14ac:dyDescent="0.2">
      <c r="A19" s="14" t="s">
        <v>129</v>
      </c>
      <c r="B19" s="110" t="s">
        <v>316</v>
      </c>
      <c r="C19" s="110"/>
      <c r="D19" s="110"/>
      <c r="E19" s="110"/>
      <c r="F19" s="59"/>
      <c r="G19" s="142" t="s">
        <v>295</v>
      </c>
      <c r="H19" s="142"/>
      <c r="I19" s="142"/>
      <c r="J19" s="142"/>
      <c r="K19" s="59"/>
      <c r="L19" s="98"/>
      <c r="M19" s="59"/>
      <c r="N19" s="14" t="s">
        <v>129</v>
      </c>
      <c r="O19" s="110" t="s">
        <v>316</v>
      </c>
      <c r="P19" s="110"/>
      <c r="Q19" s="110"/>
      <c r="R19" s="110"/>
      <c r="S19" s="59"/>
      <c r="T19" s="142" t="s">
        <v>317</v>
      </c>
      <c r="U19" s="142"/>
      <c r="V19" s="142"/>
      <c r="W19" s="142"/>
    </row>
    <row r="20" spans="1:23" x14ac:dyDescent="0.2">
      <c r="C20" t="s">
        <v>279</v>
      </c>
      <c r="D20" t="s">
        <v>280</v>
      </c>
      <c r="E20" t="s">
        <v>55</v>
      </c>
      <c r="H20" t="s">
        <v>279</v>
      </c>
      <c r="I20" t="s">
        <v>280</v>
      </c>
      <c r="J20" t="s">
        <v>55</v>
      </c>
      <c r="P20" t="s">
        <v>279</v>
      </c>
      <c r="Q20" t="s">
        <v>280</v>
      </c>
      <c r="R20" t="s">
        <v>55</v>
      </c>
      <c r="U20" t="s">
        <v>279</v>
      </c>
      <c r="V20" t="s">
        <v>280</v>
      </c>
      <c r="W20" t="s">
        <v>55</v>
      </c>
    </row>
    <row r="21" spans="1:23" x14ac:dyDescent="0.2">
      <c r="B21" t="s">
        <v>281</v>
      </c>
      <c r="C21">
        <v>55</v>
      </c>
      <c r="D21">
        <v>171</v>
      </c>
      <c r="E21">
        <f>D21+C21</f>
        <v>226</v>
      </c>
      <c r="G21" t="s">
        <v>281</v>
      </c>
      <c r="H21">
        <v>120</v>
      </c>
      <c r="I21">
        <v>70</v>
      </c>
      <c r="J21">
        <f>I21+H21</f>
        <v>190</v>
      </c>
      <c r="O21" t="s">
        <v>281</v>
      </c>
      <c r="P21">
        <v>8</v>
      </c>
      <c r="Q21">
        <v>100</v>
      </c>
      <c r="R21">
        <f>Q21+P21</f>
        <v>108</v>
      </c>
      <c r="T21" t="s">
        <v>281</v>
      </c>
      <c r="U21">
        <v>16</v>
      </c>
      <c r="V21">
        <v>73</v>
      </c>
      <c r="W21">
        <f>V21+U21</f>
        <v>89</v>
      </c>
    </row>
    <row r="22" spans="1:23" x14ac:dyDescent="0.2">
      <c r="B22" t="s">
        <v>156</v>
      </c>
      <c r="C22">
        <f>(C21/E21)*100</f>
        <v>24.336283185840706</v>
      </c>
      <c r="D22">
        <f>(D21/E21)*100</f>
        <v>75.663716814159287</v>
      </c>
      <c r="G22" t="s">
        <v>156</v>
      </c>
      <c r="H22">
        <f>(H21/J21)*100</f>
        <v>63.157894736842103</v>
      </c>
      <c r="I22">
        <f>(I21/J21)*100</f>
        <v>36.84210526315789</v>
      </c>
      <c r="O22" t="s">
        <v>156</v>
      </c>
      <c r="P22">
        <f>(P21/R21)*100</f>
        <v>7.4074074074074066</v>
      </c>
      <c r="Q22">
        <f>(Q21/R21)*100</f>
        <v>92.592592592592595</v>
      </c>
      <c r="T22" t="s">
        <v>156</v>
      </c>
      <c r="U22">
        <f>(U21/W21)*100</f>
        <v>17.977528089887642</v>
      </c>
      <c r="V22">
        <f>(V21/W21)*100</f>
        <v>82.022471910112358</v>
      </c>
    </row>
    <row r="23" spans="1:23" x14ac:dyDescent="0.2">
      <c r="B23" t="s">
        <v>28</v>
      </c>
      <c r="C23">
        <v>16</v>
      </c>
      <c r="D23">
        <v>84</v>
      </c>
      <c r="E23">
        <f>D23+C23</f>
        <v>100</v>
      </c>
      <c r="G23" t="s">
        <v>28</v>
      </c>
      <c r="H23">
        <v>49</v>
      </c>
      <c r="I23">
        <v>69</v>
      </c>
      <c r="J23">
        <f>I23+H23</f>
        <v>118</v>
      </c>
      <c r="O23" t="s">
        <v>28</v>
      </c>
      <c r="P23">
        <v>3</v>
      </c>
      <c r="Q23">
        <v>97</v>
      </c>
      <c r="R23">
        <f>Q23+P23</f>
        <v>100</v>
      </c>
      <c r="T23" t="s">
        <v>28</v>
      </c>
      <c r="U23">
        <v>15</v>
      </c>
      <c r="V23">
        <v>88</v>
      </c>
      <c r="W23">
        <f>V23+U23</f>
        <v>103</v>
      </c>
    </row>
    <row r="24" spans="1:23" x14ac:dyDescent="0.2">
      <c r="B24" t="s">
        <v>156</v>
      </c>
      <c r="C24">
        <f>(C23/E23)*100</f>
        <v>16</v>
      </c>
      <c r="D24">
        <f>(D23/E23)*100</f>
        <v>84</v>
      </c>
      <c r="G24" t="s">
        <v>156</v>
      </c>
      <c r="H24">
        <f>(H23/J23)*100</f>
        <v>41.525423728813557</v>
      </c>
      <c r="I24">
        <f>(I23/J23)*100</f>
        <v>58.474576271186443</v>
      </c>
      <c r="O24" t="s">
        <v>156</v>
      </c>
      <c r="P24">
        <f>(P23/R23)*100</f>
        <v>3</v>
      </c>
      <c r="Q24">
        <f>(Q23/R23)*100</f>
        <v>97</v>
      </c>
      <c r="T24" t="s">
        <v>156</v>
      </c>
      <c r="U24">
        <f>(U23/W23)*100</f>
        <v>14.563106796116504</v>
      </c>
      <c r="V24">
        <f>(V23/W23)*100</f>
        <v>85.436893203883486</v>
      </c>
    </row>
    <row r="25" spans="1:23" x14ac:dyDescent="0.2">
      <c r="B25" t="s">
        <v>30</v>
      </c>
      <c r="C25">
        <v>29</v>
      </c>
      <c r="D25">
        <v>116</v>
      </c>
      <c r="E25">
        <f>D25+C25</f>
        <v>145</v>
      </c>
      <c r="G25" t="s">
        <v>30</v>
      </c>
      <c r="H25">
        <v>45</v>
      </c>
      <c r="I25">
        <v>150</v>
      </c>
      <c r="J25">
        <f>I25+H25</f>
        <v>195</v>
      </c>
      <c r="O25" t="s">
        <v>30</v>
      </c>
      <c r="P25">
        <v>7</v>
      </c>
      <c r="Q25">
        <v>96</v>
      </c>
      <c r="R25">
        <f>Q25+P25</f>
        <v>103</v>
      </c>
      <c r="T25" t="s">
        <v>30</v>
      </c>
      <c r="U25">
        <v>31</v>
      </c>
      <c r="V25">
        <v>86</v>
      </c>
      <c r="W25">
        <f>V25+U25</f>
        <v>117</v>
      </c>
    </row>
    <row r="26" spans="1:23" x14ac:dyDescent="0.2">
      <c r="B26" t="s">
        <v>156</v>
      </c>
      <c r="C26">
        <f>(C25/E25)*100</f>
        <v>20</v>
      </c>
      <c r="D26">
        <f>(D25/E25)*100</f>
        <v>80</v>
      </c>
      <c r="G26" t="s">
        <v>156</v>
      </c>
      <c r="H26">
        <f>(H25/J25)*100</f>
        <v>23.076923076923077</v>
      </c>
      <c r="I26">
        <f>(I25/J25)*100</f>
        <v>76.923076923076934</v>
      </c>
      <c r="O26" t="s">
        <v>156</v>
      </c>
      <c r="P26">
        <f>(P25/R25)*100</f>
        <v>6.7961165048543686</v>
      </c>
      <c r="Q26">
        <f>(Q25/R25)*100</f>
        <v>93.203883495145632</v>
      </c>
      <c r="T26" t="s">
        <v>156</v>
      </c>
      <c r="U26">
        <f>(U25/W25)*100</f>
        <v>26.495726495726498</v>
      </c>
      <c r="V26">
        <f>(V25/W25)*100</f>
        <v>73.504273504273513</v>
      </c>
    </row>
    <row r="28" spans="1:23" x14ac:dyDescent="0.2">
      <c r="A28" s="14" t="s">
        <v>100</v>
      </c>
      <c r="B28" s="110" t="s">
        <v>28</v>
      </c>
      <c r="C28" s="110"/>
      <c r="D28" s="110"/>
      <c r="E28" s="110"/>
      <c r="F28" s="59"/>
      <c r="G28" s="142" t="s">
        <v>295</v>
      </c>
      <c r="H28" s="142"/>
      <c r="I28" s="142"/>
      <c r="J28" s="142"/>
      <c r="K28" s="59"/>
      <c r="L28" s="98"/>
      <c r="M28" s="59"/>
      <c r="N28" s="14" t="s">
        <v>100</v>
      </c>
      <c r="O28" s="110" t="s">
        <v>316</v>
      </c>
      <c r="P28" s="110"/>
      <c r="Q28" s="110"/>
      <c r="R28" s="110"/>
      <c r="S28" s="59"/>
      <c r="T28" s="142" t="s">
        <v>317</v>
      </c>
      <c r="U28" s="142"/>
      <c r="V28" s="142"/>
      <c r="W28" s="142"/>
    </row>
    <row r="29" spans="1:23" x14ac:dyDescent="0.2">
      <c r="C29" t="s">
        <v>279</v>
      </c>
      <c r="D29" t="s">
        <v>280</v>
      </c>
      <c r="E29" t="s">
        <v>55</v>
      </c>
      <c r="H29" t="s">
        <v>279</v>
      </c>
      <c r="I29" t="s">
        <v>280</v>
      </c>
      <c r="J29" t="s">
        <v>55</v>
      </c>
      <c r="O29" s="82"/>
      <c r="P29" t="s">
        <v>279</v>
      </c>
      <c r="Q29" t="s">
        <v>280</v>
      </c>
      <c r="R29" t="s">
        <v>55</v>
      </c>
      <c r="U29" t="s">
        <v>279</v>
      </c>
      <c r="V29" t="s">
        <v>280</v>
      </c>
      <c r="W29" t="s">
        <v>55</v>
      </c>
    </row>
    <row r="30" spans="1:23" x14ac:dyDescent="0.2">
      <c r="B30" t="s">
        <v>281</v>
      </c>
      <c r="C30">
        <f t="shared" ref="C30:D35" si="0">AVERAGE(C3,C12,C21)</f>
        <v>37.666666666666664</v>
      </c>
      <c r="D30">
        <f t="shared" si="0"/>
        <v>135.33333333333334</v>
      </c>
      <c r="E30">
        <f>D30+C30</f>
        <v>173</v>
      </c>
      <c r="G30" t="s">
        <v>281</v>
      </c>
      <c r="H30">
        <f t="shared" ref="H30:I35" si="1">AVERAGE(H3,H12,H21)</f>
        <v>104.33333333333333</v>
      </c>
      <c r="I30">
        <f t="shared" si="1"/>
        <v>68.666666666666671</v>
      </c>
      <c r="J30">
        <f>I30+H30</f>
        <v>173</v>
      </c>
      <c r="O30" t="s">
        <v>281</v>
      </c>
      <c r="P30">
        <f>AVERAGE(P3,P12,P21)</f>
        <v>8.3333333333333339</v>
      </c>
      <c r="Q30">
        <f t="shared" ref="Q30:R30" si="2">AVERAGE(Q3,Q12,Q21)</f>
        <v>108</v>
      </c>
      <c r="R30">
        <f t="shared" si="2"/>
        <v>116.33333333333333</v>
      </c>
      <c r="T30" t="s">
        <v>281</v>
      </c>
      <c r="U30">
        <f>AVERAGE(U3,U12,U21)</f>
        <v>32.333333333333336</v>
      </c>
      <c r="V30">
        <f t="shared" ref="V30:W30" si="3">AVERAGE(V3,V12,V21)</f>
        <v>89.333333333333329</v>
      </c>
      <c r="W30">
        <f t="shared" si="3"/>
        <v>121.66666666666667</v>
      </c>
    </row>
    <row r="31" spans="1:23" x14ac:dyDescent="0.2">
      <c r="B31" t="s">
        <v>156</v>
      </c>
      <c r="C31">
        <f t="shared" si="0"/>
        <v>20.819725218310086</v>
      </c>
      <c r="D31">
        <f t="shared" si="0"/>
        <v>79.180274781689903</v>
      </c>
      <c r="G31" t="s">
        <v>156</v>
      </c>
      <c r="H31">
        <f t="shared" si="1"/>
        <v>60.129308107546969</v>
      </c>
      <c r="I31">
        <f t="shared" si="1"/>
        <v>39.870691892453024</v>
      </c>
      <c r="O31" t="s">
        <v>156</v>
      </c>
      <c r="P31">
        <f t="shared" ref="P31:R35" si="4">AVERAGE(P4,P13,P22)</f>
        <v>7.3421849522478455</v>
      </c>
      <c r="Q31">
        <f t="shared" si="4"/>
        <v>92.657815047752152</v>
      </c>
      <c r="T31" t="s">
        <v>156</v>
      </c>
      <c r="U31">
        <f t="shared" ref="U31:W35" si="5">AVERAGE(U4,U13,U22)</f>
        <v>25.329983483378697</v>
      </c>
      <c r="V31">
        <f t="shared" si="5"/>
        <v>74.670016516621303</v>
      </c>
    </row>
    <row r="32" spans="1:23" x14ac:dyDescent="0.2">
      <c r="B32" t="s">
        <v>28</v>
      </c>
      <c r="C32">
        <f t="shared" si="0"/>
        <v>21</v>
      </c>
      <c r="D32">
        <f t="shared" si="0"/>
        <v>106.33333333333333</v>
      </c>
      <c r="E32">
        <f>D32+C32</f>
        <v>127.33333333333333</v>
      </c>
      <c r="G32" t="s">
        <v>28</v>
      </c>
      <c r="H32">
        <f t="shared" si="1"/>
        <v>56.666666666666664</v>
      </c>
      <c r="I32">
        <f t="shared" si="1"/>
        <v>75.333333333333329</v>
      </c>
      <c r="J32">
        <f>I32+H32</f>
        <v>132</v>
      </c>
      <c r="O32" t="s">
        <v>28</v>
      </c>
      <c r="P32">
        <f t="shared" si="4"/>
        <v>3.3333333333333335</v>
      </c>
      <c r="Q32">
        <f t="shared" si="4"/>
        <v>103.66666666666667</v>
      </c>
      <c r="R32">
        <f t="shared" si="4"/>
        <v>107</v>
      </c>
      <c r="T32" t="s">
        <v>28</v>
      </c>
      <c r="U32">
        <f t="shared" si="5"/>
        <v>16.333333333333332</v>
      </c>
      <c r="V32">
        <f t="shared" si="5"/>
        <v>79</v>
      </c>
      <c r="W32">
        <f t="shared" si="5"/>
        <v>95.333333333333329</v>
      </c>
    </row>
    <row r="33" spans="1:26" x14ac:dyDescent="0.2">
      <c r="B33" t="s">
        <v>156</v>
      </c>
      <c r="C33">
        <f t="shared" si="0"/>
        <v>16.325866263948317</v>
      </c>
      <c r="D33">
        <f t="shared" si="0"/>
        <v>83.674133736051672</v>
      </c>
      <c r="G33" t="s">
        <v>156</v>
      </c>
      <c r="H33">
        <f t="shared" si="1"/>
        <v>42.858594480347925</v>
      </c>
      <c r="I33">
        <f t="shared" si="1"/>
        <v>57.141405519652075</v>
      </c>
      <c r="O33" t="s">
        <v>156</v>
      </c>
      <c r="P33">
        <f t="shared" si="4"/>
        <v>2.8970879276222785</v>
      </c>
      <c r="Q33">
        <f t="shared" si="4"/>
        <v>97.10291207237772</v>
      </c>
      <c r="T33" t="s">
        <v>156</v>
      </c>
      <c r="U33">
        <f t="shared" si="5"/>
        <v>17.429076080018749</v>
      </c>
      <c r="V33">
        <f t="shared" si="5"/>
        <v>82.57092391998124</v>
      </c>
    </row>
    <row r="34" spans="1:26" x14ac:dyDescent="0.2">
      <c r="B34" t="s">
        <v>30</v>
      </c>
      <c r="C34">
        <f t="shared" si="0"/>
        <v>31.333333333333332</v>
      </c>
      <c r="D34">
        <f t="shared" si="0"/>
        <v>119.33333333333333</v>
      </c>
      <c r="E34">
        <f>D34+C34</f>
        <v>150.66666666666666</v>
      </c>
      <c r="G34" t="s">
        <v>30</v>
      </c>
      <c r="H34">
        <f t="shared" si="1"/>
        <v>62</v>
      </c>
      <c r="I34">
        <f t="shared" si="1"/>
        <v>166.66666666666666</v>
      </c>
      <c r="J34">
        <f>I34+H34</f>
        <v>228.66666666666666</v>
      </c>
      <c r="O34" t="s">
        <v>30</v>
      </c>
      <c r="P34">
        <f t="shared" si="4"/>
        <v>7.666666666666667</v>
      </c>
      <c r="Q34">
        <f t="shared" si="4"/>
        <v>102.66666666666667</v>
      </c>
      <c r="R34">
        <f t="shared" si="4"/>
        <v>110.33333333333333</v>
      </c>
      <c r="T34" t="s">
        <v>30</v>
      </c>
      <c r="U34">
        <f t="shared" si="5"/>
        <v>23.666666666666668</v>
      </c>
      <c r="V34">
        <f t="shared" si="5"/>
        <v>91</v>
      </c>
      <c r="W34">
        <f t="shared" si="5"/>
        <v>114.66666666666667</v>
      </c>
    </row>
    <row r="35" spans="1:26" x14ac:dyDescent="0.2">
      <c r="B35" t="s">
        <v>156</v>
      </c>
      <c r="C35">
        <f t="shared" si="0"/>
        <v>20.451255853554702</v>
      </c>
      <c r="D35">
        <f t="shared" si="0"/>
        <v>79.548744146445301</v>
      </c>
      <c r="G35" t="s">
        <v>156</v>
      </c>
      <c r="H35">
        <f t="shared" si="1"/>
        <v>24.904541241890641</v>
      </c>
      <c r="I35">
        <f t="shared" si="1"/>
        <v>75.095458758109359</v>
      </c>
      <c r="O35" t="s">
        <v>156</v>
      </c>
      <c r="P35">
        <f t="shared" si="4"/>
        <v>6.9283167505842114</v>
      </c>
      <c r="Q35">
        <f t="shared" si="4"/>
        <v>93.071683249415798</v>
      </c>
      <c r="T35" t="s">
        <v>156</v>
      </c>
      <c r="U35">
        <f t="shared" si="5"/>
        <v>20.612137735425407</v>
      </c>
      <c r="V35">
        <f t="shared" si="5"/>
        <v>79.387862264574593</v>
      </c>
      <c r="Y35" s="114" t="s">
        <v>409</v>
      </c>
      <c r="Z35" s="114"/>
    </row>
    <row r="36" spans="1:26" x14ac:dyDescent="0.2">
      <c r="Y36" s="167" t="s">
        <v>54</v>
      </c>
      <c r="Z36" s="167"/>
    </row>
    <row r="37" spans="1:26" x14ac:dyDescent="0.2">
      <c r="A37" t="s">
        <v>281</v>
      </c>
      <c r="B37" t="s">
        <v>63</v>
      </c>
      <c r="C37">
        <f>STDEVA(C4,C13,C22)</f>
        <v>10.681272200651728</v>
      </c>
      <c r="D37">
        <f>STDEVA(D4,D13,D22)</f>
        <v>10.681272200651797</v>
      </c>
      <c r="F37" t="s">
        <v>281</v>
      </c>
      <c r="G37" t="s">
        <v>63</v>
      </c>
      <c r="H37">
        <f>STDEVA(H4,H13,H22)</f>
        <v>3.1475235039420593</v>
      </c>
      <c r="I37">
        <f>STDEVA(I4,I13,I22)</f>
        <v>3.1475235039420624</v>
      </c>
      <c r="N37" t="s">
        <v>281</v>
      </c>
      <c r="O37" t="s">
        <v>63</v>
      </c>
      <c r="P37">
        <f>STDEVA(P4,P13,P22)</f>
        <v>2.1251393232395288</v>
      </c>
      <c r="Q37">
        <f>STDEVA(Q4,Q13,Q22)</f>
        <v>2.1251393232395337</v>
      </c>
      <c r="T37" t="s">
        <v>63</v>
      </c>
      <c r="U37">
        <f>STDEVA(U4,U13,U22)</f>
        <v>6.6891835854219153</v>
      </c>
      <c r="V37">
        <f>STDEVA(V4,V13,V22)</f>
        <v>6.6891835854219313</v>
      </c>
    </row>
    <row r="38" spans="1:26" x14ac:dyDescent="0.2">
      <c r="B38" t="s">
        <v>59</v>
      </c>
      <c r="C38">
        <f>(C37/SQRT(3))</f>
        <v>6.166835380333942</v>
      </c>
      <c r="D38">
        <f>(D37/SQRT(3))</f>
        <v>6.1668353803339819</v>
      </c>
      <c r="G38" t="s">
        <v>59</v>
      </c>
      <c r="H38">
        <f>(H37/SQRT(3))</f>
        <v>1.8172235422816221</v>
      </c>
      <c r="I38">
        <f>(I37/SQRT(3))</f>
        <v>1.8172235422816239</v>
      </c>
      <c r="O38" t="s">
        <v>59</v>
      </c>
      <c r="P38">
        <f>(P37/SQRT(3))</f>
        <v>1.2269497603378012</v>
      </c>
      <c r="Q38">
        <f>(Q37/SQRT(3))</f>
        <v>1.2269497603378039</v>
      </c>
      <c r="T38" t="s">
        <v>59</v>
      </c>
      <c r="U38">
        <f>(U37/SQRT(3))</f>
        <v>3.8620019437021691</v>
      </c>
      <c r="V38">
        <f>(V37/SQRT(3))</f>
        <v>3.8620019437021784</v>
      </c>
    </row>
    <row r="39" spans="1:26" x14ac:dyDescent="0.2">
      <c r="A39" t="s">
        <v>28</v>
      </c>
      <c r="B39" t="s">
        <v>63</v>
      </c>
      <c r="C39">
        <f>STDEVA(C6,C15,C24)</f>
        <v>6.2761692673022047</v>
      </c>
      <c r="D39">
        <f>STDEVA(D6,D15,D24)</f>
        <v>6.2761692673022029</v>
      </c>
      <c r="F39" t="s">
        <v>28</v>
      </c>
      <c r="G39" t="s">
        <v>63</v>
      </c>
      <c r="H39">
        <f>STDEVA(H6,H15,H24)</f>
        <v>6.22314655020904</v>
      </c>
      <c r="I39">
        <f>STDEVA(I6,I15,I24)</f>
        <v>6.2231465502089893</v>
      </c>
      <c r="N39" t="s">
        <v>28</v>
      </c>
      <c r="O39" t="s">
        <v>63</v>
      </c>
      <c r="P39">
        <f>STDEVA(P6,P15,P24)</f>
        <v>1.736809001689799</v>
      </c>
      <c r="Q39">
        <f>STDEVA(Q6,Q15,Q24)</f>
        <v>1.7368090016897972</v>
      </c>
      <c r="T39" t="s">
        <v>63</v>
      </c>
      <c r="U39">
        <f>STDEVA(U6,U15,U24)</f>
        <v>10.64482414858568</v>
      </c>
      <c r="V39">
        <f>STDEVA(V6,V15,V24)</f>
        <v>10.644824148585668</v>
      </c>
    </row>
    <row r="40" spans="1:26" x14ac:dyDescent="0.2">
      <c r="B40" t="s">
        <v>59</v>
      </c>
      <c r="C40">
        <f>(C39/SQRT(3))</f>
        <v>3.6235480159565845</v>
      </c>
      <c r="D40">
        <f>(D39/SQRT(3))</f>
        <v>3.6235480159565832</v>
      </c>
      <c r="G40" t="s">
        <v>59</v>
      </c>
      <c r="H40">
        <f>(H39/SQRT(3))</f>
        <v>3.5929353359696803</v>
      </c>
      <c r="I40">
        <f>(I39/SQRT(3))</f>
        <v>3.592935335969651</v>
      </c>
      <c r="O40" t="s">
        <v>59</v>
      </c>
      <c r="P40">
        <f>(P39/SQRT(3))</f>
        <v>1.0027471446565708</v>
      </c>
      <c r="Q40">
        <f>(Q39/SQRT(3))</f>
        <v>1.0027471446565697</v>
      </c>
      <c r="T40" t="s">
        <v>59</v>
      </c>
      <c r="U40">
        <f>(U39/SQRT(3))</f>
        <v>6.1457920876621719</v>
      </c>
      <c r="V40">
        <f>(V39/SQRT(3))</f>
        <v>6.1457920876621648</v>
      </c>
    </row>
    <row r="41" spans="1:26" x14ac:dyDescent="0.2">
      <c r="A41" t="s">
        <v>30</v>
      </c>
      <c r="B41" t="s">
        <v>63</v>
      </c>
      <c r="C41">
        <f>STDEVA(C8,C17,C26)</f>
        <v>8.961271233822826</v>
      </c>
      <c r="D41">
        <f>STDEVA(D8,D17,D26)</f>
        <v>8.9612712338228295</v>
      </c>
      <c r="F41" t="s">
        <v>30</v>
      </c>
      <c r="G41" t="s">
        <v>63</v>
      </c>
      <c r="H41">
        <f>STDEVA(H8,H17,H26)</f>
        <v>9.0897415725531516</v>
      </c>
      <c r="I41">
        <f>STDEVA(I8,I17,I26)</f>
        <v>9.0897415725531729</v>
      </c>
      <c r="N41" t="s">
        <v>30</v>
      </c>
      <c r="O41" t="s">
        <v>63</v>
      </c>
      <c r="P41">
        <f>STDEVA(P8,P17,P26)</f>
        <v>0.2874330499767585</v>
      </c>
      <c r="Q41">
        <f>STDEVA(Q8,Q17,Q26)</f>
        <v>0.28743304997676383</v>
      </c>
      <c r="T41" t="s">
        <v>63</v>
      </c>
      <c r="U41">
        <f>STDEVA(U8,U17,U26)</f>
        <v>5.097202396194481</v>
      </c>
      <c r="V41">
        <f>STDEVA(V8,V17,V26)</f>
        <v>5.0972023961944757</v>
      </c>
    </row>
    <row r="42" spans="1:26" x14ac:dyDescent="0.2">
      <c r="B42" t="s">
        <v>59</v>
      </c>
      <c r="C42">
        <f>(C41/SQRT(3))</f>
        <v>5.1737923591288588</v>
      </c>
      <c r="D42">
        <f>(D41/SQRT(3))</f>
        <v>5.1737923591288606</v>
      </c>
      <c r="G42" t="s">
        <v>59</v>
      </c>
      <c r="H42">
        <f>(H41/SQRT(3))</f>
        <v>5.2479647437776942</v>
      </c>
      <c r="I42">
        <f>(I41/SQRT(3))</f>
        <v>5.2479647437777066</v>
      </c>
      <c r="O42" t="s">
        <v>59</v>
      </c>
      <c r="P42">
        <f>(P41/SQRT(3))</f>
        <v>0.16594954877807669</v>
      </c>
      <c r="Q42">
        <f>(Q41/SQRT(3))</f>
        <v>0.16594954877807977</v>
      </c>
      <c r="T42" t="s">
        <v>59</v>
      </c>
      <c r="U42">
        <f>(U41/SQRT(3))</f>
        <v>2.9428711755568893</v>
      </c>
      <c r="V42">
        <f>(V41/SQRT(3))</f>
        <v>2.9428711755568862</v>
      </c>
    </row>
    <row r="46" spans="1:26" x14ac:dyDescent="0.2">
      <c r="B46" t="s">
        <v>31</v>
      </c>
      <c r="E46" s="110" t="s">
        <v>288</v>
      </c>
      <c r="F46" s="110"/>
      <c r="O46" t="s">
        <v>31</v>
      </c>
      <c r="R46" s="110" t="s">
        <v>318</v>
      </c>
      <c r="S46" s="110"/>
    </row>
    <row r="48" spans="1:26" ht="16" thickBot="1" x14ac:dyDescent="0.25">
      <c r="B48" t="s">
        <v>34</v>
      </c>
      <c r="O48" t="s">
        <v>34</v>
      </c>
    </row>
    <row r="49" spans="2:21" x14ac:dyDescent="0.2">
      <c r="B49" s="3" t="s">
        <v>35</v>
      </c>
      <c r="C49" s="3" t="s">
        <v>36</v>
      </c>
      <c r="D49" s="3" t="s">
        <v>37</v>
      </c>
      <c r="E49" s="3" t="s">
        <v>38</v>
      </c>
      <c r="F49" s="3" t="s">
        <v>39</v>
      </c>
      <c r="O49" s="3" t="s">
        <v>35</v>
      </c>
      <c r="P49" s="3" t="s">
        <v>36</v>
      </c>
      <c r="Q49" s="3" t="s">
        <v>37</v>
      </c>
      <c r="R49" s="3" t="s">
        <v>38</v>
      </c>
      <c r="S49" s="3" t="s">
        <v>39</v>
      </c>
    </row>
    <row r="50" spans="2:21" x14ac:dyDescent="0.2">
      <c r="B50" t="s">
        <v>41</v>
      </c>
      <c r="C50">
        <v>3</v>
      </c>
      <c r="D50">
        <v>237.54082434506972</v>
      </c>
      <c r="E50">
        <v>79.180274781689903</v>
      </c>
      <c r="F50">
        <v>114.0895758244169</v>
      </c>
      <c r="O50" t="s">
        <v>41</v>
      </c>
      <c r="P50">
        <v>3</v>
      </c>
      <c r="Q50">
        <v>277.97344514325647</v>
      </c>
      <c r="R50">
        <v>92.657815047752152</v>
      </c>
      <c r="S50">
        <v>4.5162171431789835</v>
      </c>
    </row>
    <row r="51" spans="2:21" ht="16" thickBot="1" x14ac:dyDescent="0.25">
      <c r="B51" s="4" t="s">
        <v>42</v>
      </c>
      <c r="C51" s="4">
        <v>3</v>
      </c>
      <c r="D51" s="4">
        <v>119.61207567735907</v>
      </c>
      <c r="E51" s="4">
        <v>39.870691892453024</v>
      </c>
      <c r="F51" s="4">
        <v>9.9069042078677185</v>
      </c>
      <c r="O51" s="4" t="s">
        <v>42</v>
      </c>
      <c r="P51" s="4">
        <v>3</v>
      </c>
      <c r="Q51" s="4">
        <v>224.01004954986391</v>
      </c>
      <c r="R51" s="4">
        <v>74.670016516621303</v>
      </c>
      <c r="S51" s="4">
        <v>44.745177039478207</v>
      </c>
    </row>
    <row r="54" spans="2:21" ht="16" thickBot="1" x14ac:dyDescent="0.25">
      <c r="B54" t="s">
        <v>44</v>
      </c>
      <c r="O54" t="s">
        <v>44</v>
      </c>
    </row>
    <row r="55" spans="2:21" x14ac:dyDescent="0.2">
      <c r="B55" s="3" t="s">
        <v>45</v>
      </c>
      <c r="C55" s="3" t="s">
        <v>46</v>
      </c>
      <c r="D55" s="3" t="s">
        <v>47</v>
      </c>
      <c r="E55" s="3" t="s">
        <v>48</v>
      </c>
      <c r="F55" s="3" t="s">
        <v>49</v>
      </c>
      <c r="G55" s="3" t="s">
        <v>50</v>
      </c>
      <c r="H55" s="3" t="s">
        <v>51</v>
      </c>
      <c r="O55" s="3" t="s">
        <v>45</v>
      </c>
      <c r="P55" s="3" t="s">
        <v>46</v>
      </c>
      <c r="Q55" s="3" t="s">
        <v>47</v>
      </c>
      <c r="R55" s="3" t="s">
        <v>48</v>
      </c>
      <c r="S55" s="3" t="s">
        <v>49</v>
      </c>
      <c r="T55" s="3" t="s">
        <v>50</v>
      </c>
      <c r="U55" s="3" t="s">
        <v>51</v>
      </c>
    </row>
    <row r="56" spans="2:21" x14ac:dyDescent="0.2">
      <c r="B56" t="s">
        <v>52</v>
      </c>
      <c r="C56">
        <v>2317.8649603886779</v>
      </c>
      <c r="D56">
        <v>1</v>
      </c>
      <c r="E56">
        <v>2317.8649603886779</v>
      </c>
      <c r="F56">
        <v>37.385979985644909</v>
      </c>
      <c r="G56">
        <v>3.6224558650077548E-3</v>
      </c>
      <c r="H56">
        <v>7.708647422176786</v>
      </c>
      <c r="O56" t="s">
        <v>52</v>
      </c>
      <c r="P56">
        <v>485.3413439948302</v>
      </c>
      <c r="Q56">
        <v>1</v>
      </c>
      <c r="R56">
        <v>485.3413439948302</v>
      </c>
      <c r="S56">
        <v>19.704734388767985</v>
      </c>
      <c r="T56">
        <v>1.1342710010304275E-2</v>
      </c>
      <c r="U56">
        <v>7.708647422176786</v>
      </c>
    </row>
    <row r="57" spans="2:21" x14ac:dyDescent="0.2">
      <c r="B57" t="s">
        <v>53</v>
      </c>
      <c r="C57">
        <v>247.99296006456626</v>
      </c>
      <c r="D57">
        <v>4</v>
      </c>
      <c r="E57">
        <v>61.998240016141565</v>
      </c>
      <c r="O57" t="s">
        <v>53</v>
      </c>
      <c r="P57">
        <v>98.522788365314383</v>
      </c>
      <c r="Q57">
        <v>4</v>
      </c>
      <c r="R57">
        <v>24.630697091328596</v>
      </c>
    </row>
    <row r="59" spans="2:21" ht="16" thickBot="1" x14ac:dyDescent="0.25">
      <c r="O59" s="4" t="s">
        <v>55</v>
      </c>
      <c r="P59" s="4">
        <v>583.86413236014459</v>
      </c>
      <c r="Q59" s="4">
        <v>5</v>
      </c>
      <c r="R59" s="4"/>
      <c r="S59" s="4"/>
      <c r="T59" s="4"/>
      <c r="U59" s="4"/>
    </row>
    <row r="60" spans="2:21" ht="16" thickBot="1" x14ac:dyDescent="0.25">
      <c r="B60" s="4" t="s">
        <v>55</v>
      </c>
      <c r="C60" s="4">
        <v>2565.8579204532443</v>
      </c>
      <c r="D60" s="4">
        <v>5</v>
      </c>
      <c r="E60" s="4"/>
      <c r="F60" s="4"/>
      <c r="G60" s="4"/>
      <c r="H60" s="4"/>
    </row>
    <row r="61" spans="2:21" x14ac:dyDescent="0.2">
      <c r="O61" t="s">
        <v>31</v>
      </c>
      <c r="R61" s="110" t="s">
        <v>319</v>
      </c>
      <c r="S61" s="110"/>
    </row>
    <row r="62" spans="2:21" x14ac:dyDescent="0.2">
      <c r="B62" t="s">
        <v>31</v>
      </c>
      <c r="E62" s="110" t="s">
        <v>289</v>
      </c>
      <c r="F62" s="110"/>
    </row>
    <row r="63" spans="2:21" ht="16" thickBot="1" x14ac:dyDescent="0.25">
      <c r="O63" t="s">
        <v>34</v>
      </c>
    </row>
    <row r="64" spans="2:21" ht="16" thickBot="1" x14ac:dyDescent="0.25">
      <c r="B64" t="s">
        <v>34</v>
      </c>
      <c r="O64" s="3" t="s">
        <v>35</v>
      </c>
      <c r="P64" s="3" t="s">
        <v>36</v>
      </c>
      <c r="Q64" s="3" t="s">
        <v>37</v>
      </c>
      <c r="R64" s="3" t="s">
        <v>38</v>
      </c>
      <c r="S64" s="3" t="s">
        <v>39</v>
      </c>
    </row>
    <row r="65" spans="2:21" x14ac:dyDescent="0.2">
      <c r="B65" s="3" t="s">
        <v>35</v>
      </c>
      <c r="C65" s="3" t="s">
        <v>36</v>
      </c>
      <c r="D65" s="3" t="s">
        <v>37</v>
      </c>
      <c r="E65" s="3" t="s">
        <v>38</v>
      </c>
      <c r="F65" s="3" t="s">
        <v>39</v>
      </c>
      <c r="O65" t="s">
        <v>41</v>
      </c>
      <c r="P65">
        <v>3</v>
      </c>
      <c r="Q65">
        <v>291.30873621713317</v>
      </c>
      <c r="R65">
        <v>97.10291207237772</v>
      </c>
      <c r="S65">
        <v>3.01650550835071</v>
      </c>
    </row>
    <row r="66" spans="2:21" ht="16" thickBot="1" x14ac:dyDescent="0.25">
      <c r="B66" t="s">
        <v>41</v>
      </c>
      <c r="C66">
        <v>3</v>
      </c>
      <c r="D66">
        <v>251.02240120815503</v>
      </c>
      <c r="E66">
        <v>83.674133736051672</v>
      </c>
      <c r="F66">
        <v>39.390300671828676</v>
      </c>
      <c r="O66" s="4" t="s">
        <v>42</v>
      </c>
      <c r="P66" s="4">
        <v>3</v>
      </c>
      <c r="Q66" s="4">
        <v>241.16476744494912</v>
      </c>
      <c r="R66" s="4">
        <v>80.38825581498304</v>
      </c>
      <c r="S66" s="4">
        <v>108.83802208640736</v>
      </c>
    </row>
    <row r="67" spans="2:21" ht="16" thickBot="1" x14ac:dyDescent="0.25">
      <c r="B67" s="4" t="s">
        <v>42</v>
      </c>
      <c r="C67" s="4">
        <v>3</v>
      </c>
      <c r="D67" s="4">
        <v>182.28704947143419</v>
      </c>
      <c r="E67" s="4">
        <v>60.762349823811398</v>
      </c>
      <c r="F67" s="4">
        <v>154.37893157957933</v>
      </c>
    </row>
    <row r="69" spans="2:21" ht="16" thickBot="1" x14ac:dyDescent="0.25">
      <c r="O69" t="s">
        <v>44</v>
      </c>
    </row>
    <row r="70" spans="2:21" ht="16" thickBot="1" x14ac:dyDescent="0.25">
      <c r="B70" t="s">
        <v>44</v>
      </c>
      <c r="O70" s="3" t="s">
        <v>45</v>
      </c>
      <c r="P70" s="3" t="s">
        <v>46</v>
      </c>
      <c r="Q70" s="3" t="s">
        <v>47</v>
      </c>
      <c r="R70" s="3" t="s">
        <v>48</v>
      </c>
      <c r="S70" s="3" t="s">
        <v>49</v>
      </c>
      <c r="T70" s="3" t="s">
        <v>50</v>
      </c>
      <c r="U70" s="3" t="s">
        <v>51</v>
      </c>
    </row>
    <row r="71" spans="2:21" x14ac:dyDescent="0.2">
      <c r="B71" s="3" t="s">
        <v>45</v>
      </c>
      <c r="C71" s="3" t="s">
        <v>46</v>
      </c>
      <c r="D71" s="3" t="s">
        <v>47</v>
      </c>
      <c r="E71" s="3" t="s">
        <v>48</v>
      </c>
      <c r="F71" s="3" t="s">
        <v>49</v>
      </c>
      <c r="G71" s="3" t="s">
        <v>50</v>
      </c>
      <c r="H71" s="3" t="s">
        <v>51</v>
      </c>
      <c r="O71" t="s">
        <v>52</v>
      </c>
      <c r="P71">
        <v>419.06960070429454</v>
      </c>
      <c r="Q71">
        <v>1</v>
      </c>
      <c r="R71">
        <v>419.06960070429454</v>
      </c>
      <c r="S71">
        <v>7.4931182441278503</v>
      </c>
      <c r="T71">
        <v>5.2046996504591998E-2</v>
      </c>
      <c r="U71">
        <v>7.708647422176786</v>
      </c>
    </row>
    <row r="72" spans="2:21" x14ac:dyDescent="0.2">
      <c r="B72" t="s">
        <v>52</v>
      </c>
      <c r="C72">
        <v>787.42476306178912</v>
      </c>
      <c r="D72">
        <v>1</v>
      </c>
      <c r="E72">
        <v>787.42476306178912</v>
      </c>
      <c r="F72">
        <v>8.1274488618516667</v>
      </c>
      <c r="G72">
        <v>4.6355104034534252E-2</v>
      </c>
      <c r="H72">
        <v>7.708647422176786</v>
      </c>
      <c r="O72" t="s">
        <v>53</v>
      </c>
      <c r="P72">
        <v>223.70905518951756</v>
      </c>
      <c r="Q72">
        <v>4</v>
      </c>
      <c r="R72">
        <v>55.927263797379389</v>
      </c>
    </row>
    <row r="73" spans="2:21" x14ac:dyDescent="0.2">
      <c r="B73" t="s">
        <v>53</v>
      </c>
      <c r="C73">
        <v>387.53846450281628</v>
      </c>
      <c r="D73">
        <v>4</v>
      </c>
      <c r="E73">
        <v>96.884616125704071</v>
      </c>
    </row>
    <row r="74" spans="2:21" ht="16" thickBot="1" x14ac:dyDescent="0.25">
      <c r="O74" s="4" t="s">
        <v>55</v>
      </c>
      <c r="P74" s="4">
        <v>642.77865589381213</v>
      </c>
      <c r="Q74" s="4">
        <v>5</v>
      </c>
      <c r="R74" s="4"/>
      <c r="S74" s="4"/>
      <c r="T74" s="4"/>
      <c r="U74" s="4"/>
    </row>
    <row r="76" spans="2:21" x14ac:dyDescent="0.2">
      <c r="O76" t="s">
        <v>31</v>
      </c>
      <c r="R76" s="127" t="s">
        <v>320</v>
      </c>
      <c r="S76" s="127"/>
    </row>
    <row r="77" spans="2:21" ht="16" thickBot="1" x14ac:dyDescent="0.25">
      <c r="B77" s="4" t="s">
        <v>55</v>
      </c>
      <c r="C77" s="4">
        <v>1174.9632275646054</v>
      </c>
      <c r="D77" s="4">
        <v>5</v>
      </c>
      <c r="E77" s="4"/>
      <c r="F77" s="4"/>
      <c r="G77" s="4"/>
      <c r="H77" s="4"/>
    </row>
    <row r="78" spans="2:21" ht="16" thickBot="1" x14ac:dyDescent="0.25">
      <c r="O78" t="s">
        <v>34</v>
      </c>
    </row>
    <row r="79" spans="2:21" x14ac:dyDescent="0.2">
      <c r="B79" t="s">
        <v>31</v>
      </c>
      <c r="E79" s="127" t="s">
        <v>290</v>
      </c>
      <c r="F79" s="127"/>
      <c r="O79" s="3" t="s">
        <v>35</v>
      </c>
      <c r="P79" s="3" t="s">
        <v>36</v>
      </c>
      <c r="Q79" s="3" t="s">
        <v>37</v>
      </c>
      <c r="R79" s="3" t="s">
        <v>38</v>
      </c>
      <c r="S79" s="3" t="s">
        <v>39</v>
      </c>
    </row>
    <row r="80" spans="2:21" x14ac:dyDescent="0.2">
      <c r="O80" t="s">
        <v>41</v>
      </c>
      <c r="P80">
        <v>3</v>
      </c>
      <c r="Q80">
        <v>279.2150497482474</v>
      </c>
      <c r="R80">
        <v>93.071683249415798</v>
      </c>
      <c r="S80">
        <v>8.261775821894482E-2</v>
      </c>
    </row>
    <row r="81" spans="2:21" ht="16" thickBot="1" x14ac:dyDescent="0.25">
      <c r="B81" t="s">
        <v>34</v>
      </c>
      <c r="O81" s="4" t="s">
        <v>42</v>
      </c>
      <c r="P81" s="4">
        <v>3</v>
      </c>
      <c r="Q81" s="4">
        <v>238.16358679372377</v>
      </c>
      <c r="R81" s="4">
        <v>79.387862264574593</v>
      </c>
      <c r="S81" s="4">
        <v>25.981472267770702</v>
      </c>
    </row>
    <row r="82" spans="2:21" x14ac:dyDescent="0.2">
      <c r="B82" s="3" t="s">
        <v>35</v>
      </c>
      <c r="C82" s="3" t="s">
        <v>36</v>
      </c>
      <c r="D82" s="3" t="s">
        <v>37</v>
      </c>
      <c r="E82" s="3" t="s">
        <v>38</v>
      </c>
      <c r="F82" s="3" t="s">
        <v>39</v>
      </c>
    </row>
    <row r="83" spans="2:21" x14ac:dyDescent="0.2">
      <c r="B83" t="s">
        <v>41</v>
      </c>
      <c r="C83">
        <v>3</v>
      </c>
      <c r="D83">
        <v>238.6462324393359</v>
      </c>
      <c r="E83">
        <v>79.548744146445301</v>
      </c>
      <c r="F83">
        <v>80.304382126140538</v>
      </c>
    </row>
    <row r="84" spans="2:21" ht="16" thickBot="1" x14ac:dyDescent="0.25">
      <c r="B84" s="4" t="s">
        <v>42</v>
      </c>
      <c r="C84" s="4">
        <v>3</v>
      </c>
      <c r="D84" s="4">
        <v>225.28637627432809</v>
      </c>
      <c r="E84" s="4">
        <v>75.095458758109359</v>
      </c>
      <c r="F84" s="4">
        <v>82.623401855801433</v>
      </c>
      <c r="O84" t="s">
        <v>44</v>
      </c>
    </row>
    <row r="85" spans="2:21" x14ac:dyDescent="0.2">
      <c r="O85" s="3" t="s">
        <v>45</v>
      </c>
      <c r="P85" s="3" t="s">
        <v>46</v>
      </c>
      <c r="Q85" s="3" t="s">
        <v>47</v>
      </c>
      <c r="R85" s="3" t="s">
        <v>48</v>
      </c>
      <c r="S85" s="3" t="s">
        <v>49</v>
      </c>
      <c r="T85" s="3" t="s">
        <v>50</v>
      </c>
      <c r="U85" s="3" t="s">
        <v>51</v>
      </c>
    </row>
    <row r="86" spans="2:21" x14ac:dyDescent="0.2">
      <c r="O86" t="s">
        <v>52</v>
      </c>
      <c r="P86">
        <v>280.8704351177704</v>
      </c>
      <c r="Q86">
        <v>1</v>
      </c>
      <c r="R86">
        <v>280.8704351177704</v>
      </c>
      <c r="S86">
        <v>21.552291665483214</v>
      </c>
      <c r="T86">
        <v>9.7162081112249568E-3</v>
      </c>
      <c r="U86">
        <v>7.708647422176786</v>
      </c>
    </row>
    <row r="87" spans="2:21" ht="16" thickBot="1" x14ac:dyDescent="0.25">
      <c r="B87" t="s">
        <v>44</v>
      </c>
      <c r="O87" t="s">
        <v>53</v>
      </c>
      <c r="P87">
        <v>52.128180051979292</v>
      </c>
      <c r="Q87">
        <v>4</v>
      </c>
      <c r="R87">
        <v>13.032045012994823</v>
      </c>
    </row>
    <row r="88" spans="2:21" x14ac:dyDescent="0.2">
      <c r="B88" s="3" t="s">
        <v>45</v>
      </c>
      <c r="C88" s="3" t="s">
        <v>46</v>
      </c>
      <c r="D88" s="3" t="s">
        <v>47</v>
      </c>
      <c r="E88" s="3" t="s">
        <v>48</v>
      </c>
      <c r="F88" s="3" t="s">
        <v>49</v>
      </c>
      <c r="G88" s="3" t="s">
        <v>50</v>
      </c>
      <c r="H88" s="3" t="s">
        <v>51</v>
      </c>
    </row>
    <row r="89" spans="2:21" ht="16" thickBot="1" x14ac:dyDescent="0.25">
      <c r="B89" t="s">
        <v>52</v>
      </c>
      <c r="C89">
        <v>29.747626124949591</v>
      </c>
      <c r="D89">
        <v>1</v>
      </c>
      <c r="E89">
        <v>29.747626124949591</v>
      </c>
      <c r="F89">
        <v>0.36516333062317546</v>
      </c>
      <c r="G89">
        <v>0.57825262852168902</v>
      </c>
      <c r="H89">
        <v>7.708647422176786</v>
      </c>
      <c r="O89" s="4" t="s">
        <v>55</v>
      </c>
      <c r="P89" s="4">
        <v>332.99861516974971</v>
      </c>
      <c r="Q89" s="4">
        <v>5</v>
      </c>
      <c r="R89" s="4"/>
      <c r="S89" s="4"/>
      <c r="T89" s="4"/>
      <c r="U89" s="4"/>
    </row>
    <row r="90" spans="2:21" x14ac:dyDescent="0.2">
      <c r="B90" t="s">
        <v>53</v>
      </c>
      <c r="C90">
        <v>325.85556796388391</v>
      </c>
      <c r="D90">
        <v>4</v>
      </c>
      <c r="E90">
        <v>81.463891990970978</v>
      </c>
    </row>
    <row r="92" spans="2:21" ht="16" thickBot="1" x14ac:dyDescent="0.25">
      <c r="B92" s="4" t="s">
        <v>55</v>
      </c>
      <c r="C92" s="4">
        <v>355.6031940888335</v>
      </c>
      <c r="D92" s="4">
        <v>5</v>
      </c>
      <c r="E92" s="4"/>
      <c r="F92" s="4"/>
      <c r="G92" s="4"/>
      <c r="H92" s="4"/>
    </row>
  </sheetData>
  <mergeCells count="24">
    <mergeCell ref="B1:E1"/>
    <mergeCell ref="G1:J1"/>
    <mergeCell ref="B10:E10"/>
    <mergeCell ref="G10:J10"/>
    <mergeCell ref="B19:E19"/>
    <mergeCell ref="G19:J19"/>
    <mergeCell ref="O1:R1"/>
    <mergeCell ref="T1:W1"/>
    <mergeCell ref="O10:R10"/>
    <mergeCell ref="T10:W10"/>
    <mergeCell ref="O19:R19"/>
    <mergeCell ref="T19:W19"/>
    <mergeCell ref="E79:F79"/>
    <mergeCell ref="R76:S76"/>
    <mergeCell ref="O28:R28"/>
    <mergeCell ref="T28:W28"/>
    <mergeCell ref="E46:F46"/>
    <mergeCell ref="E62:F62"/>
    <mergeCell ref="R61:S61"/>
    <mergeCell ref="B28:E28"/>
    <mergeCell ref="G28:J28"/>
    <mergeCell ref="Y35:Z35"/>
    <mergeCell ref="Y36:Z36"/>
    <mergeCell ref="R46:S4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A564-A1D4-C340-B84F-2D0C5F80AA16}">
  <sheetPr>
    <tabColor rgb="FF00B050"/>
  </sheetPr>
  <dimension ref="A1:AG106"/>
  <sheetViews>
    <sheetView topLeftCell="C50" zoomScale="70" zoomScaleNormal="70" workbookViewId="0">
      <selection activeCell="Y103" sqref="Y103"/>
    </sheetView>
  </sheetViews>
  <sheetFormatPr baseColWidth="10" defaultRowHeight="15" x14ac:dyDescent="0.2"/>
  <sheetData>
    <row r="1" spans="1:25" x14ac:dyDescent="0.2">
      <c r="A1" s="14" t="s">
        <v>113</v>
      </c>
      <c r="B1" s="110" t="s">
        <v>274</v>
      </c>
      <c r="C1" s="110"/>
      <c r="D1" s="110"/>
      <c r="E1" s="110"/>
      <c r="F1" s="59"/>
      <c r="G1" s="138" t="s">
        <v>275</v>
      </c>
      <c r="H1" s="138"/>
      <c r="I1" s="138"/>
      <c r="J1" s="138"/>
      <c r="L1" s="139" t="s">
        <v>276</v>
      </c>
      <c r="M1" s="139"/>
      <c r="N1" s="139"/>
      <c r="O1" s="139"/>
      <c r="Q1" s="143" t="s">
        <v>277</v>
      </c>
      <c r="R1" s="143"/>
      <c r="S1" s="143"/>
      <c r="T1" s="143"/>
      <c r="V1" s="141" t="s">
        <v>278</v>
      </c>
      <c r="W1" s="141"/>
      <c r="X1" s="141"/>
      <c r="Y1" s="141"/>
    </row>
    <row r="2" spans="1:25" x14ac:dyDescent="0.2">
      <c r="C2" t="s">
        <v>279</v>
      </c>
      <c r="D2" t="s">
        <v>280</v>
      </c>
      <c r="E2" t="s">
        <v>55</v>
      </c>
      <c r="H2" t="s">
        <v>279</v>
      </c>
      <c r="I2" t="s">
        <v>280</v>
      </c>
      <c r="J2" t="s">
        <v>55</v>
      </c>
      <c r="M2" t="s">
        <v>279</v>
      </c>
      <c r="N2" t="s">
        <v>280</v>
      </c>
      <c r="O2" t="s">
        <v>55</v>
      </c>
      <c r="R2" t="s">
        <v>279</v>
      </c>
      <c r="S2" t="s">
        <v>280</v>
      </c>
      <c r="T2" t="s">
        <v>55</v>
      </c>
      <c r="W2" t="s">
        <v>279</v>
      </c>
      <c r="X2" t="s">
        <v>280</v>
      </c>
      <c r="Y2" t="s">
        <v>55</v>
      </c>
    </row>
    <row r="3" spans="1:25" x14ac:dyDescent="0.2">
      <c r="B3" t="s">
        <v>281</v>
      </c>
      <c r="C3">
        <v>12</v>
      </c>
      <c r="D3">
        <v>124</v>
      </c>
      <c r="E3">
        <f>C3+D3</f>
        <v>136</v>
      </c>
      <c r="G3" t="s">
        <v>66</v>
      </c>
      <c r="H3">
        <v>91</v>
      </c>
      <c r="I3">
        <v>69</v>
      </c>
      <c r="J3">
        <f>I3+H3</f>
        <v>160</v>
      </c>
      <c r="L3" t="s">
        <v>66</v>
      </c>
      <c r="M3">
        <v>37</v>
      </c>
      <c r="N3">
        <v>141</v>
      </c>
      <c r="O3">
        <f>N3+M3</f>
        <v>178</v>
      </c>
      <c r="Q3" t="s">
        <v>66</v>
      </c>
      <c r="R3">
        <v>47</v>
      </c>
      <c r="S3">
        <v>154</v>
      </c>
      <c r="T3">
        <f>S3+R3</f>
        <v>201</v>
      </c>
      <c r="V3" t="s">
        <v>66</v>
      </c>
      <c r="W3">
        <v>19</v>
      </c>
      <c r="X3">
        <v>142</v>
      </c>
      <c r="Y3">
        <f>X3+W3</f>
        <v>161</v>
      </c>
    </row>
    <row r="4" spans="1:25" x14ac:dyDescent="0.2">
      <c r="B4" t="s">
        <v>156</v>
      </c>
      <c r="C4">
        <f>(C3/E3)*100</f>
        <v>8.8235294117647065</v>
      </c>
      <c r="D4">
        <f>(D3/E3)*100</f>
        <v>91.17647058823529</v>
      </c>
      <c r="G4" t="s">
        <v>156</v>
      </c>
      <c r="H4">
        <f>(H3/J3)*100</f>
        <v>56.875</v>
      </c>
      <c r="I4">
        <f>(I3/J3)*100</f>
        <v>43.125</v>
      </c>
      <c r="L4" t="s">
        <v>156</v>
      </c>
      <c r="M4">
        <f>(M3/O3)*100</f>
        <v>20.786516853932586</v>
      </c>
      <c r="N4">
        <f>(N3/O3)*100</f>
        <v>79.213483146067418</v>
      </c>
      <c r="Q4" t="s">
        <v>156</v>
      </c>
      <c r="R4">
        <f>(R3/T3)*100</f>
        <v>23.383084577114428</v>
      </c>
      <c r="S4">
        <f>(S3/T3)*100</f>
        <v>76.616915422885569</v>
      </c>
      <c r="V4" t="s">
        <v>156</v>
      </c>
      <c r="W4">
        <f>(W3/Y3)*100</f>
        <v>11.801242236024844</v>
      </c>
      <c r="X4">
        <f>(X3/Y3)*100</f>
        <v>88.198757763975152</v>
      </c>
    </row>
    <row r="5" spans="1:25" x14ac:dyDescent="0.2">
      <c r="B5" t="s">
        <v>28</v>
      </c>
      <c r="C5">
        <v>14</v>
      </c>
      <c r="D5">
        <v>123</v>
      </c>
      <c r="E5">
        <f>D5+C5</f>
        <v>137</v>
      </c>
      <c r="G5" t="s">
        <v>28</v>
      </c>
      <c r="H5">
        <v>52</v>
      </c>
      <c r="I5">
        <v>87</v>
      </c>
      <c r="J5">
        <f>I5+H5</f>
        <v>139</v>
      </c>
      <c r="L5" t="s">
        <v>28</v>
      </c>
      <c r="M5">
        <v>33</v>
      </c>
      <c r="N5">
        <v>164</v>
      </c>
      <c r="O5">
        <f>N5+M5</f>
        <v>197</v>
      </c>
      <c r="Q5" t="s">
        <v>28</v>
      </c>
      <c r="R5">
        <v>15</v>
      </c>
      <c r="S5">
        <v>164</v>
      </c>
      <c r="T5">
        <f>S5+R5</f>
        <v>179</v>
      </c>
      <c r="V5" t="s">
        <v>28</v>
      </c>
      <c r="W5">
        <v>15</v>
      </c>
      <c r="X5">
        <v>80</v>
      </c>
      <c r="Y5">
        <f>X5+W5</f>
        <v>95</v>
      </c>
    </row>
    <row r="6" spans="1:25" x14ac:dyDescent="0.2">
      <c r="B6" t="s">
        <v>156</v>
      </c>
      <c r="C6">
        <f>(C5/E5)*100</f>
        <v>10.218978102189782</v>
      </c>
      <c r="D6">
        <f>(D5/E5)*100</f>
        <v>89.78102189781022</v>
      </c>
      <c r="G6" t="s">
        <v>156</v>
      </c>
      <c r="H6">
        <f>(H5/J5)*100</f>
        <v>37.410071942446045</v>
      </c>
      <c r="I6">
        <f>(I5/J5)*100</f>
        <v>62.589928057553955</v>
      </c>
      <c r="L6" t="s">
        <v>156</v>
      </c>
      <c r="M6">
        <f>(M5/O5)*100</f>
        <v>16.751269035532996</v>
      </c>
      <c r="N6">
        <f>(N5/O5)*100</f>
        <v>83.248730964467015</v>
      </c>
      <c r="Q6" t="s">
        <v>156</v>
      </c>
      <c r="R6">
        <f>(R5/T5)*100</f>
        <v>8.3798882681564244</v>
      </c>
      <c r="S6">
        <f>(S5/T5)*100</f>
        <v>91.620111731843579</v>
      </c>
      <c r="V6" t="s">
        <v>156</v>
      </c>
      <c r="W6">
        <f>(W5/Y5)*100</f>
        <v>15.789473684210526</v>
      </c>
      <c r="X6">
        <f>(X5/Y5)*100</f>
        <v>84.210526315789465</v>
      </c>
    </row>
    <row r="7" spans="1:25" x14ac:dyDescent="0.2">
      <c r="B7" t="s">
        <v>30</v>
      </c>
      <c r="C7">
        <v>17</v>
      </c>
      <c r="D7">
        <v>128</v>
      </c>
      <c r="E7">
        <f>D7+C7</f>
        <v>145</v>
      </c>
      <c r="G7" t="s">
        <v>30</v>
      </c>
      <c r="H7">
        <v>28</v>
      </c>
      <c r="I7">
        <v>138</v>
      </c>
      <c r="J7">
        <f>I7+H7</f>
        <v>166</v>
      </c>
      <c r="L7" t="s">
        <v>30</v>
      </c>
      <c r="M7">
        <v>31</v>
      </c>
      <c r="N7">
        <v>113</v>
      </c>
      <c r="O7">
        <f>N7+M7</f>
        <v>144</v>
      </c>
      <c r="Q7" t="s">
        <v>30</v>
      </c>
      <c r="R7">
        <v>15</v>
      </c>
      <c r="S7">
        <v>98</v>
      </c>
      <c r="T7">
        <f>S7+R7</f>
        <v>113</v>
      </c>
      <c r="V7" t="s">
        <v>30</v>
      </c>
      <c r="W7">
        <v>5</v>
      </c>
      <c r="X7">
        <v>90</v>
      </c>
      <c r="Y7">
        <f>X7+W7</f>
        <v>95</v>
      </c>
    </row>
    <row r="8" spans="1:25" x14ac:dyDescent="0.2">
      <c r="B8" t="s">
        <v>156</v>
      </c>
      <c r="C8">
        <f>(C7/E7)*100</f>
        <v>11.724137931034482</v>
      </c>
      <c r="D8">
        <f>(D7/E7)*100</f>
        <v>88.275862068965523</v>
      </c>
      <c r="G8" t="s">
        <v>156</v>
      </c>
      <c r="H8">
        <f>(H7/J7)*100</f>
        <v>16.867469879518072</v>
      </c>
      <c r="I8">
        <f>(I7/J7)*100</f>
        <v>83.132530120481931</v>
      </c>
      <c r="L8" t="s">
        <v>156</v>
      </c>
      <c r="M8">
        <f>(M7/O7)*100</f>
        <v>21.527777777777779</v>
      </c>
      <c r="N8">
        <f>(N7/O7)*100</f>
        <v>78.472222222222214</v>
      </c>
      <c r="Q8" t="s">
        <v>156</v>
      </c>
      <c r="R8">
        <f>(R7/T7)*100</f>
        <v>13.274336283185843</v>
      </c>
      <c r="S8">
        <f>(S7/T7)*100</f>
        <v>86.725663716814154</v>
      </c>
      <c r="V8" t="s">
        <v>156</v>
      </c>
      <c r="W8">
        <f>(W7/Y7)*100</f>
        <v>5.2631578947368416</v>
      </c>
      <c r="X8">
        <f>(X7/Y7)*100</f>
        <v>94.73684210526315</v>
      </c>
    </row>
    <row r="10" spans="1:25" x14ac:dyDescent="0.2">
      <c r="A10" s="14" t="s">
        <v>114</v>
      </c>
      <c r="B10" s="110" t="s">
        <v>274</v>
      </c>
      <c r="C10" s="110"/>
      <c r="D10" s="110"/>
      <c r="E10" s="110"/>
      <c r="F10" s="59"/>
      <c r="G10" s="138" t="s">
        <v>275</v>
      </c>
      <c r="H10" s="138"/>
      <c r="I10" s="138"/>
      <c r="J10" s="138"/>
      <c r="L10" s="139" t="s">
        <v>276</v>
      </c>
      <c r="M10" s="139"/>
      <c r="N10" s="139"/>
      <c r="O10" s="139"/>
      <c r="Q10" s="143" t="s">
        <v>277</v>
      </c>
      <c r="R10" s="143"/>
      <c r="S10" s="143"/>
      <c r="T10" s="143"/>
      <c r="V10" s="141" t="s">
        <v>278</v>
      </c>
      <c r="W10" s="141"/>
      <c r="X10" s="141"/>
      <c r="Y10" s="141"/>
    </row>
    <row r="11" spans="1:25" x14ac:dyDescent="0.2">
      <c r="C11" t="s">
        <v>279</v>
      </c>
      <c r="D11" t="s">
        <v>280</v>
      </c>
      <c r="E11" t="s">
        <v>55</v>
      </c>
      <c r="H11" t="s">
        <v>279</v>
      </c>
      <c r="I11" t="s">
        <v>280</v>
      </c>
      <c r="J11" t="s">
        <v>55</v>
      </c>
      <c r="M11" t="s">
        <v>279</v>
      </c>
      <c r="N11" t="s">
        <v>280</v>
      </c>
      <c r="O11" t="s">
        <v>55</v>
      </c>
      <c r="R11" t="s">
        <v>279</v>
      </c>
      <c r="S11" t="s">
        <v>280</v>
      </c>
      <c r="T11" t="s">
        <v>55</v>
      </c>
      <c r="W11" t="s">
        <v>279</v>
      </c>
      <c r="X11" t="s">
        <v>280</v>
      </c>
      <c r="Y11" t="s">
        <v>55</v>
      </c>
    </row>
    <row r="12" spans="1:25" x14ac:dyDescent="0.2">
      <c r="B12" t="s">
        <v>281</v>
      </c>
      <c r="C12">
        <v>46</v>
      </c>
      <c r="D12">
        <v>111</v>
      </c>
      <c r="E12">
        <f>D12+C12</f>
        <v>157</v>
      </c>
      <c r="G12" t="s">
        <v>281</v>
      </c>
      <c r="H12">
        <v>102</v>
      </c>
      <c r="I12">
        <v>67</v>
      </c>
      <c r="J12">
        <f>I12+H12</f>
        <v>169</v>
      </c>
      <c r="L12" t="s">
        <v>281</v>
      </c>
      <c r="M12">
        <v>80</v>
      </c>
      <c r="N12">
        <v>173</v>
      </c>
      <c r="O12">
        <f>N12+M12</f>
        <v>253</v>
      </c>
      <c r="Q12" t="s">
        <v>281</v>
      </c>
      <c r="R12">
        <v>60</v>
      </c>
      <c r="S12">
        <v>106</v>
      </c>
      <c r="T12">
        <f>S12+R12</f>
        <v>166</v>
      </c>
      <c r="V12" t="s">
        <v>281</v>
      </c>
      <c r="W12">
        <v>36</v>
      </c>
      <c r="X12">
        <v>98</v>
      </c>
      <c r="Y12">
        <f>X12+W12</f>
        <v>134</v>
      </c>
    </row>
    <row r="13" spans="1:25" x14ac:dyDescent="0.2">
      <c r="B13" t="s">
        <v>156</v>
      </c>
      <c r="C13">
        <f>(C12/E12)*100</f>
        <v>29.29936305732484</v>
      </c>
      <c r="D13">
        <f>(D12/E12)*100</f>
        <v>70.70063694267516</v>
      </c>
      <c r="G13" t="s">
        <v>156</v>
      </c>
      <c r="H13">
        <f>(H12/J12)*100</f>
        <v>60.355029585798817</v>
      </c>
      <c r="I13">
        <f>(I12/J12)*100</f>
        <v>39.644970414201183</v>
      </c>
      <c r="L13" t="s">
        <v>156</v>
      </c>
      <c r="M13">
        <f>(M12/O12)*100</f>
        <v>31.620553359683797</v>
      </c>
      <c r="N13">
        <f>(N12/O12)*100</f>
        <v>68.379446640316218</v>
      </c>
      <c r="Q13" t="s">
        <v>156</v>
      </c>
      <c r="R13">
        <f>(R12/T12)*100</f>
        <v>36.144578313253014</v>
      </c>
      <c r="S13">
        <f>(S12/T12)*100</f>
        <v>63.855421686746979</v>
      </c>
      <c r="V13" t="s">
        <v>156</v>
      </c>
      <c r="W13">
        <f>(W12/Y12)*100</f>
        <v>26.865671641791046</v>
      </c>
      <c r="X13">
        <f>(X12/Y12)*100</f>
        <v>73.134328358208961</v>
      </c>
    </row>
    <row r="14" spans="1:25" x14ac:dyDescent="0.2">
      <c r="B14" t="s">
        <v>28</v>
      </c>
      <c r="C14">
        <v>33</v>
      </c>
      <c r="D14">
        <v>112</v>
      </c>
      <c r="E14">
        <f>D14+C14</f>
        <v>145</v>
      </c>
      <c r="G14" t="s">
        <v>28</v>
      </c>
      <c r="H14">
        <v>69</v>
      </c>
      <c r="I14">
        <v>70</v>
      </c>
      <c r="J14">
        <f>I14+H14</f>
        <v>139</v>
      </c>
      <c r="L14" t="s">
        <v>28</v>
      </c>
      <c r="M14">
        <v>38</v>
      </c>
      <c r="N14">
        <v>163</v>
      </c>
      <c r="O14">
        <f>N14+M14</f>
        <v>201</v>
      </c>
      <c r="Q14" t="s">
        <v>28</v>
      </c>
      <c r="R14">
        <v>65</v>
      </c>
      <c r="S14">
        <v>201</v>
      </c>
      <c r="T14">
        <f>S14+R14</f>
        <v>266</v>
      </c>
      <c r="V14" t="s">
        <v>28</v>
      </c>
      <c r="W14">
        <v>48</v>
      </c>
      <c r="X14">
        <v>124</v>
      </c>
      <c r="Y14">
        <f>X14+W14</f>
        <v>172</v>
      </c>
    </row>
    <row r="15" spans="1:25" x14ac:dyDescent="0.2">
      <c r="B15" t="s">
        <v>156</v>
      </c>
      <c r="C15">
        <f>(C14/E14)*100</f>
        <v>22.758620689655174</v>
      </c>
      <c r="D15">
        <f>(D14/E14)*100</f>
        <v>77.241379310344826</v>
      </c>
      <c r="G15" t="s">
        <v>156</v>
      </c>
      <c r="H15">
        <f>(H14/J14)*100</f>
        <v>49.640287769784173</v>
      </c>
      <c r="I15">
        <f>(I14/J14)*100</f>
        <v>50.359712230215827</v>
      </c>
      <c r="L15" t="s">
        <v>156</v>
      </c>
      <c r="M15">
        <f>(M14/O14)*100</f>
        <v>18.905472636815919</v>
      </c>
      <c r="N15">
        <f>(N14/O14)*100</f>
        <v>81.094527363184071</v>
      </c>
      <c r="Q15" t="s">
        <v>156</v>
      </c>
      <c r="R15">
        <f>(R14/T14)*100</f>
        <v>24.436090225563909</v>
      </c>
      <c r="S15">
        <f>(S14/T14)*100</f>
        <v>75.563909774436084</v>
      </c>
      <c r="V15" t="s">
        <v>156</v>
      </c>
      <c r="W15">
        <f>(W14/Y14)*100</f>
        <v>27.906976744186046</v>
      </c>
      <c r="X15">
        <f>(X14/Y14)*100</f>
        <v>72.093023255813947</v>
      </c>
    </row>
    <row r="16" spans="1:25" x14ac:dyDescent="0.2">
      <c r="B16" t="s">
        <v>30</v>
      </c>
      <c r="C16">
        <v>48</v>
      </c>
      <c r="D16">
        <v>114</v>
      </c>
      <c r="E16">
        <f>D16+C16</f>
        <v>162</v>
      </c>
      <c r="G16" t="s">
        <v>30</v>
      </c>
      <c r="H16">
        <v>113</v>
      </c>
      <c r="I16">
        <v>212</v>
      </c>
      <c r="J16">
        <f>I16+H16</f>
        <v>325</v>
      </c>
      <c r="L16" t="s">
        <v>30</v>
      </c>
      <c r="M16">
        <v>57</v>
      </c>
      <c r="N16">
        <v>132</v>
      </c>
      <c r="O16">
        <f>N16+M16</f>
        <v>189</v>
      </c>
      <c r="Q16" t="s">
        <v>30</v>
      </c>
      <c r="R16">
        <v>24</v>
      </c>
      <c r="S16">
        <v>98</v>
      </c>
      <c r="T16">
        <f>S16+R16</f>
        <v>122</v>
      </c>
      <c r="V16" t="s">
        <v>30</v>
      </c>
      <c r="W16">
        <v>33</v>
      </c>
      <c r="X16">
        <v>107</v>
      </c>
      <c r="Y16">
        <f>X16+W16</f>
        <v>140</v>
      </c>
    </row>
    <row r="17" spans="1:25" x14ac:dyDescent="0.2">
      <c r="B17" t="s">
        <v>156</v>
      </c>
      <c r="C17">
        <f>(C16/E16)*100</f>
        <v>29.629629629629626</v>
      </c>
      <c r="D17">
        <f>(D16/E16)*100</f>
        <v>70.370370370370367</v>
      </c>
      <c r="G17" t="s">
        <v>156</v>
      </c>
      <c r="H17">
        <f>(H16/J16)*100</f>
        <v>34.769230769230766</v>
      </c>
      <c r="I17">
        <f>(I16/J16)*100</f>
        <v>65.230769230769226</v>
      </c>
      <c r="L17" t="s">
        <v>156</v>
      </c>
      <c r="M17">
        <f>(M16/O16)*100</f>
        <v>30.158730158730158</v>
      </c>
      <c r="N17">
        <f>(N16/O16)*100</f>
        <v>69.841269841269835</v>
      </c>
      <c r="Q17" t="s">
        <v>156</v>
      </c>
      <c r="R17">
        <f>(R16/T16)*100</f>
        <v>19.672131147540984</v>
      </c>
      <c r="S17">
        <f>(S16/T16)*100</f>
        <v>80.327868852459019</v>
      </c>
      <c r="V17" t="s">
        <v>156</v>
      </c>
      <c r="W17">
        <f>(W16/Y16)*100</f>
        <v>23.571428571428569</v>
      </c>
      <c r="X17">
        <f>(X16/Y16)*100</f>
        <v>76.428571428571416</v>
      </c>
    </row>
    <row r="19" spans="1:25" x14ac:dyDescent="0.2">
      <c r="A19" s="14" t="s">
        <v>129</v>
      </c>
      <c r="B19" s="110" t="s">
        <v>274</v>
      </c>
      <c r="C19" s="110"/>
      <c r="D19" s="110"/>
      <c r="E19" s="110"/>
      <c r="F19" s="59"/>
      <c r="G19" s="138" t="s">
        <v>275</v>
      </c>
      <c r="H19" s="138"/>
      <c r="I19" s="138"/>
      <c r="J19" s="138"/>
      <c r="L19" s="139" t="s">
        <v>276</v>
      </c>
      <c r="M19" s="139"/>
      <c r="N19" s="139"/>
      <c r="O19" s="139"/>
      <c r="Q19" s="143" t="s">
        <v>277</v>
      </c>
      <c r="R19" s="143"/>
      <c r="S19" s="143"/>
      <c r="T19" s="143"/>
      <c r="V19" s="141" t="s">
        <v>278</v>
      </c>
      <c r="W19" s="141"/>
      <c r="X19" s="141"/>
      <c r="Y19" s="141"/>
    </row>
    <row r="20" spans="1:25" x14ac:dyDescent="0.2">
      <c r="C20" t="s">
        <v>279</v>
      </c>
      <c r="D20" t="s">
        <v>280</v>
      </c>
      <c r="E20" t="s">
        <v>55</v>
      </c>
      <c r="H20" t="s">
        <v>279</v>
      </c>
      <c r="I20" t="s">
        <v>280</v>
      </c>
      <c r="J20" t="s">
        <v>55</v>
      </c>
      <c r="M20" t="s">
        <v>279</v>
      </c>
      <c r="N20" t="s">
        <v>280</v>
      </c>
      <c r="O20" t="s">
        <v>55</v>
      </c>
      <c r="R20" t="s">
        <v>279</v>
      </c>
      <c r="S20" t="s">
        <v>280</v>
      </c>
      <c r="T20" t="s">
        <v>55</v>
      </c>
      <c r="W20" t="s">
        <v>279</v>
      </c>
      <c r="X20" t="s">
        <v>280</v>
      </c>
      <c r="Y20" t="s">
        <v>55</v>
      </c>
    </row>
    <row r="21" spans="1:25" x14ac:dyDescent="0.2">
      <c r="B21" t="s">
        <v>281</v>
      </c>
      <c r="C21">
        <v>55</v>
      </c>
      <c r="D21">
        <v>171</v>
      </c>
      <c r="E21">
        <f>D21+C21</f>
        <v>226</v>
      </c>
      <c r="G21" t="s">
        <v>281</v>
      </c>
      <c r="H21">
        <v>120</v>
      </c>
      <c r="I21">
        <v>70</v>
      </c>
      <c r="J21">
        <f>I21+H21</f>
        <v>190</v>
      </c>
      <c r="L21" t="s">
        <v>281</v>
      </c>
      <c r="M21">
        <v>21</v>
      </c>
      <c r="N21">
        <v>81</v>
      </c>
      <c r="O21">
        <f>N21+M21</f>
        <v>102</v>
      </c>
      <c r="Q21" t="s">
        <v>281</v>
      </c>
      <c r="R21">
        <v>16</v>
      </c>
      <c r="S21">
        <v>96</v>
      </c>
      <c r="T21">
        <f>S21+R21</f>
        <v>112</v>
      </c>
      <c r="V21" t="s">
        <v>281</v>
      </c>
      <c r="W21">
        <v>32</v>
      </c>
      <c r="X21">
        <v>123</v>
      </c>
      <c r="Y21">
        <f>X21+W21</f>
        <v>155</v>
      </c>
    </row>
    <row r="22" spans="1:25" x14ac:dyDescent="0.2">
      <c r="B22" t="s">
        <v>156</v>
      </c>
      <c r="C22">
        <f>(C21/E21)*100</f>
        <v>24.336283185840706</v>
      </c>
      <c r="D22">
        <f>(D21/E21)*100</f>
        <v>75.663716814159287</v>
      </c>
      <c r="G22" t="s">
        <v>156</v>
      </c>
      <c r="H22">
        <f>(H21/J21)*100</f>
        <v>63.157894736842103</v>
      </c>
      <c r="I22">
        <f>(I21/J21)*100</f>
        <v>36.84210526315789</v>
      </c>
      <c r="L22" t="s">
        <v>156</v>
      </c>
      <c r="M22">
        <f>(M21/O21)*100</f>
        <v>20.588235294117645</v>
      </c>
      <c r="N22">
        <f>(N21/O21)*100</f>
        <v>79.411764705882348</v>
      </c>
      <c r="Q22" t="s">
        <v>156</v>
      </c>
      <c r="R22">
        <f>(R21/T21)*100</f>
        <v>14.285714285714285</v>
      </c>
      <c r="S22">
        <f>(S21/T21)*100</f>
        <v>85.714285714285708</v>
      </c>
      <c r="V22" t="s">
        <v>156</v>
      </c>
      <c r="W22">
        <f>(W21/Y21)*100</f>
        <v>20.64516129032258</v>
      </c>
      <c r="X22">
        <f>(X21/Y21)*100</f>
        <v>79.354838709677423</v>
      </c>
    </row>
    <row r="23" spans="1:25" x14ac:dyDescent="0.2">
      <c r="B23" t="s">
        <v>28</v>
      </c>
      <c r="C23">
        <v>16</v>
      </c>
      <c r="D23">
        <v>84</v>
      </c>
      <c r="E23">
        <f>D23+C23</f>
        <v>100</v>
      </c>
      <c r="G23" t="s">
        <v>28</v>
      </c>
      <c r="H23">
        <v>49</v>
      </c>
      <c r="I23">
        <v>69</v>
      </c>
      <c r="J23">
        <f>I23+H23</f>
        <v>118</v>
      </c>
      <c r="L23" t="s">
        <v>28</v>
      </c>
      <c r="M23">
        <v>13</v>
      </c>
      <c r="N23">
        <v>84</v>
      </c>
      <c r="O23">
        <f>N23+M23</f>
        <v>97</v>
      </c>
      <c r="Q23" t="s">
        <v>28</v>
      </c>
      <c r="R23">
        <v>24</v>
      </c>
      <c r="S23">
        <v>110</v>
      </c>
      <c r="T23">
        <f>S23+R23</f>
        <v>134</v>
      </c>
      <c r="V23" t="s">
        <v>28</v>
      </c>
      <c r="W23">
        <v>26</v>
      </c>
      <c r="X23">
        <v>118</v>
      </c>
      <c r="Y23">
        <f>X23+W23</f>
        <v>144</v>
      </c>
    </row>
    <row r="24" spans="1:25" x14ac:dyDescent="0.2">
      <c r="B24" t="s">
        <v>156</v>
      </c>
      <c r="C24">
        <f>(C23/E23)*100</f>
        <v>16</v>
      </c>
      <c r="D24">
        <f>(D23/E23)*100</f>
        <v>84</v>
      </c>
      <c r="G24" t="s">
        <v>156</v>
      </c>
      <c r="H24">
        <f>(H23/J23)*100</f>
        <v>41.525423728813557</v>
      </c>
      <c r="I24">
        <f>(I23/J23)*100</f>
        <v>58.474576271186443</v>
      </c>
      <c r="L24" t="s">
        <v>156</v>
      </c>
      <c r="M24">
        <f>(M23/O23)*100</f>
        <v>13.402061855670103</v>
      </c>
      <c r="N24">
        <f>(N23/O23)*100</f>
        <v>86.597938144329902</v>
      </c>
      <c r="Q24" t="s">
        <v>156</v>
      </c>
      <c r="R24">
        <f>(R23/T23)*100</f>
        <v>17.910447761194028</v>
      </c>
      <c r="S24">
        <f>(S23/T23)*100</f>
        <v>82.089552238805979</v>
      </c>
      <c r="V24" t="s">
        <v>156</v>
      </c>
      <c r="W24">
        <f>(W23/Y23)*100</f>
        <v>18.055555555555554</v>
      </c>
      <c r="X24">
        <f>(X23/Y23)*100</f>
        <v>81.944444444444443</v>
      </c>
    </row>
    <row r="25" spans="1:25" x14ac:dyDescent="0.2">
      <c r="B25" t="s">
        <v>30</v>
      </c>
      <c r="C25">
        <v>29</v>
      </c>
      <c r="D25">
        <v>116</v>
      </c>
      <c r="E25">
        <f>D25+C25</f>
        <v>145</v>
      </c>
      <c r="G25" t="s">
        <v>30</v>
      </c>
      <c r="H25">
        <v>45</v>
      </c>
      <c r="I25">
        <v>150</v>
      </c>
      <c r="J25">
        <f>I25+H25</f>
        <v>195</v>
      </c>
      <c r="L25" t="s">
        <v>30</v>
      </c>
      <c r="M25">
        <v>42</v>
      </c>
      <c r="N25">
        <v>151</v>
      </c>
      <c r="O25">
        <f>N25+M25</f>
        <v>193</v>
      </c>
      <c r="Q25" t="s">
        <v>30</v>
      </c>
      <c r="R25">
        <v>22</v>
      </c>
      <c r="S25">
        <v>99</v>
      </c>
      <c r="T25">
        <f>S25+R25</f>
        <v>121</v>
      </c>
      <c r="V25" t="s">
        <v>30</v>
      </c>
      <c r="W25">
        <v>27</v>
      </c>
      <c r="X25">
        <v>83</v>
      </c>
      <c r="Y25">
        <f>X25+W25</f>
        <v>110</v>
      </c>
    </row>
    <row r="26" spans="1:25" x14ac:dyDescent="0.2">
      <c r="B26" t="s">
        <v>156</v>
      </c>
      <c r="C26">
        <f>(C25/E25)*100</f>
        <v>20</v>
      </c>
      <c r="D26">
        <f>(D25/E25)*100</f>
        <v>80</v>
      </c>
      <c r="G26" t="s">
        <v>156</v>
      </c>
      <c r="H26">
        <f>(H25/J25)*100</f>
        <v>23.076923076923077</v>
      </c>
      <c r="I26">
        <f>(I25/J25)*100</f>
        <v>76.923076923076934</v>
      </c>
      <c r="L26" t="s">
        <v>156</v>
      </c>
      <c r="M26">
        <f>(M25/O25)*100</f>
        <v>21.761658031088082</v>
      </c>
      <c r="N26">
        <f>(N25/O25)*100</f>
        <v>78.238341968911911</v>
      </c>
      <c r="Q26" t="s">
        <v>156</v>
      </c>
      <c r="R26">
        <f>(R25/T25)*100</f>
        <v>18.181818181818183</v>
      </c>
      <c r="S26">
        <f>(S25/T25)*100</f>
        <v>81.818181818181827</v>
      </c>
      <c r="V26" t="s">
        <v>156</v>
      </c>
      <c r="W26">
        <f>(W25/Y25)*100</f>
        <v>24.545454545454547</v>
      </c>
      <c r="X26">
        <f>(X25/Y25)*100</f>
        <v>75.454545454545453</v>
      </c>
    </row>
    <row r="28" spans="1:25" x14ac:dyDescent="0.2">
      <c r="A28" s="14" t="s">
        <v>100</v>
      </c>
      <c r="B28" s="110" t="s">
        <v>274</v>
      </c>
      <c r="C28" s="110"/>
      <c r="D28" s="110"/>
      <c r="E28" s="110"/>
      <c r="F28" s="59"/>
      <c r="G28" s="138" t="s">
        <v>275</v>
      </c>
      <c r="H28" s="138"/>
      <c r="I28" s="138"/>
      <c r="J28" s="138"/>
      <c r="L28" s="139" t="s">
        <v>276</v>
      </c>
      <c r="M28" s="139"/>
      <c r="N28" s="139"/>
      <c r="O28" s="139"/>
      <c r="Q28" s="143" t="s">
        <v>277</v>
      </c>
      <c r="R28" s="143"/>
      <c r="S28" s="143"/>
      <c r="T28" s="143"/>
      <c r="V28" s="141" t="s">
        <v>278</v>
      </c>
      <c r="W28" s="141"/>
      <c r="X28" s="141"/>
      <c r="Y28" s="141"/>
    </row>
    <row r="29" spans="1:25" x14ac:dyDescent="0.2">
      <c r="C29" t="s">
        <v>279</v>
      </c>
      <c r="D29" t="s">
        <v>280</v>
      </c>
      <c r="E29" t="s">
        <v>55</v>
      </c>
      <c r="H29" t="s">
        <v>279</v>
      </c>
      <c r="I29" t="s">
        <v>280</v>
      </c>
      <c r="J29" t="s">
        <v>55</v>
      </c>
      <c r="M29" t="s">
        <v>279</v>
      </c>
      <c r="N29" t="s">
        <v>280</v>
      </c>
      <c r="O29" t="s">
        <v>55</v>
      </c>
      <c r="R29" t="s">
        <v>279</v>
      </c>
      <c r="S29" t="s">
        <v>280</v>
      </c>
      <c r="T29" t="s">
        <v>55</v>
      </c>
      <c r="W29" t="s">
        <v>279</v>
      </c>
      <c r="X29" t="s">
        <v>280</v>
      </c>
      <c r="Y29" t="s">
        <v>55</v>
      </c>
    </row>
    <row r="30" spans="1:25" x14ac:dyDescent="0.2">
      <c r="B30" t="s">
        <v>281</v>
      </c>
      <c r="C30">
        <f t="shared" ref="C30:D35" si="0">AVERAGE(C3,C12,C21)</f>
        <v>37.666666666666664</v>
      </c>
      <c r="D30">
        <f t="shared" si="0"/>
        <v>135.33333333333334</v>
      </c>
      <c r="E30">
        <f>D30+C30</f>
        <v>173</v>
      </c>
      <c r="G30" t="s">
        <v>281</v>
      </c>
      <c r="H30">
        <f t="shared" ref="H30:I35" si="1">AVERAGE(H3,H12,H21)</f>
        <v>104.33333333333333</v>
      </c>
      <c r="I30">
        <f t="shared" si="1"/>
        <v>68.666666666666671</v>
      </c>
      <c r="J30">
        <f>I30+H30</f>
        <v>173</v>
      </c>
      <c r="L30" t="s">
        <v>281</v>
      </c>
      <c r="M30">
        <f t="shared" ref="M30:N35" si="2">AVERAGE(M3,M12,M21)</f>
        <v>46</v>
      </c>
      <c r="N30">
        <f t="shared" si="2"/>
        <v>131.66666666666666</v>
      </c>
      <c r="O30">
        <f>N30+M30</f>
        <v>177.66666666666666</v>
      </c>
      <c r="Q30" t="s">
        <v>281</v>
      </c>
      <c r="R30">
        <f t="shared" ref="R30:S35" si="3">AVERAGE(R3,R12,R21)</f>
        <v>41</v>
      </c>
      <c r="S30">
        <f t="shared" si="3"/>
        <v>118.66666666666667</v>
      </c>
      <c r="T30">
        <f>S30+R30</f>
        <v>159.66666666666669</v>
      </c>
      <c r="V30" t="s">
        <v>281</v>
      </c>
      <c r="W30">
        <f t="shared" ref="W30:X35" si="4">AVERAGE(W3,W12,W21)</f>
        <v>29</v>
      </c>
      <c r="X30">
        <f t="shared" si="4"/>
        <v>121</v>
      </c>
      <c r="Y30">
        <f>X30+W30</f>
        <v>150</v>
      </c>
    </row>
    <row r="31" spans="1:25" x14ac:dyDescent="0.2">
      <c r="B31" t="s">
        <v>156</v>
      </c>
      <c r="C31">
        <f t="shared" si="0"/>
        <v>20.819725218310086</v>
      </c>
      <c r="D31">
        <f t="shared" si="0"/>
        <v>79.180274781689903</v>
      </c>
      <c r="G31" t="s">
        <v>156</v>
      </c>
      <c r="H31">
        <f t="shared" si="1"/>
        <v>60.129308107546969</v>
      </c>
      <c r="I31">
        <f t="shared" si="1"/>
        <v>39.870691892453024</v>
      </c>
      <c r="L31" t="s">
        <v>156</v>
      </c>
      <c r="M31">
        <f t="shared" si="2"/>
        <v>24.331768502578011</v>
      </c>
      <c r="N31">
        <f t="shared" si="2"/>
        <v>75.668231497421999</v>
      </c>
      <c r="Q31" t="s">
        <v>156</v>
      </c>
      <c r="R31">
        <f t="shared" si="3"/>
        <v>24.604459058693909</v>
      </c>
      <c r="S31">
        <f t="shared" si="3"/>
        <v>75.395540941306081</v>
      </c>
      <c r="V31" t="s">
        <v>156</v>
      </c>
      <c r="W31">
        <f t="shared" si="4"/>
        <v>19.770691722712822</v>
      </c>
      <c r="X31">
        <f t="shared" si="4"/>
        <v>80.229308277287188</v>
      </c>
    </row>
    <row r="32" spans="1:25" x14ac:dyDescent="0.2">
      <c r="B32" t="s">
        <v>28</v>
      </c>
      <c r="C32">
        <f t="shared" si="0"/>
        <v>21</v>
      </c>
      <c r="D32">
        <f t="shared" si="0"/>
        <v>106.33333333333333</v>
      </c>
      <c r="E32">
        <f>D32+C32</f>
        <v>127.33333333333333</v>
      </c>
      <c r="G32" t="s">
        <v>28</v>
      </c>
      <c r="H32">
        <f t="shared" si="1"/>
        <v>56.666666666666664</v>
      </c>
      <c r="I32">
        <f t="shared" si="1"/>
        <v>75.333333333333329</v>
      </c>
      <c r="J32">
        <f>I32+H32</f>
        <v>132</v>
      </c>
      <c r="L32" t="s">
        <v>28</v>
      </c>
      <c r="M32">
        <f t="shared" si="2"/>
        <v>28</v>
      </c>
      <c r="N32">
        <f t="shared" si="2"/>
        <v>137</v>
      </c>
      <c r="O32">
        <f>N32+M32</f>
        <v>165</v>
      </c>
      <c r="Q32" t="s">
        <v>28</v>
      </c>
      <c r="R32">
        <f t="shared" si="3"/>
        <v>34.666666666666664</v>
      </c>
      <c r="S32">
        <f t="shared" si="3"/>
        <v>158.33333333333334</v>
      </c>
      <c r="T32">
        <f>S32+R32</f>
        <v>193</v>
      </c>
      <c r="V32" t="s">
        <v>28</v>
      </c>
      <c r="W32">
        <f t="shared" si="4"/>
        <v>29.666666666666668</v>
      </c>
      <c r="X32">
        <f t="shared" si="4"/>
        <v>107.33333333333333</v>
      </c>
      <c r="Y32">
        <f>X32+W32</f>
        <v>137</v>
      </c>
    </row>
    <row r="33" spans="2:31" x14ac:dyDescent="0.2">
      <c r="B33" t="s">
        <v>156</v>
      </c>
      <c r="C33">
        <f t="shared" si="0"/>
        <v>16.325866263948317</v>
      </c>
      <c r="D33">
        <f t="shared" si="0"/>
        <v>83.674133736051672</v>
      </c>
      <c r="G33" t="s">
        <v>156</v>
      </c>
      <c r="H33">
        <f t="shared" si="1"/>
        <v>42.858594480347925</v>
      </c>
      <c r="I33">
        <f t="shared" si="1"/>
        <v>57.141405519652075</v>
      </c>
      <c r="L33" t="s">
        <v>156</v>
      </c>
      <c r="M33">
        <f t="shared" si="2"/>
        <v>16.352934509339672</v>
      </c>
      <c r="N33">
        <f t="shared" si="2"/>
        <v>83.647065490660324</v>
      </c>
      <c r="Q33" t="s">
        <v>156</v>
      </c>
      <c r="R33">
        <f t="shared" si="3"/>
        <v>16.908808751638123</v>
      </c>
      <c r="S33">
        <f t="shared" si="3"/>
        <v>83.091191248361881</v>
      </c>
      <c r="V33" t="s">
        <v>156</v>
      </c>
      <c r="W33">
        <f t="shared" si="4"/>
        <v>20.584001994650709</v>
      </c>
      <c r="X33">
        <f t="shared" si="4"/>
        <v>79.415998005349294</v>
      </c>
    </row>
    <row r="34" spans="2:31" x14ac:dyDescent="0.2">
      <c r="B34" t="s">
        <v>30</v>
      </c>
      <c r="C34">
        <f t="shared" si="0"/>
        <v>31.333333333333332</v>
      </c>
      <c r="D34">
        <f t="shared" si="0"/>
        <v>119.33333333333333</v>
      </c>
      <c r="E34">
        <f>D34+C34</f>
        <v>150.66666666666666</v>
      </c>
      <c r="G34" t="s">
        <v>30</v>
      </c>
      <c r="H34">
        <f t="shared" si="1"/>
        <v>62</v>
      </c>
      <c r="I34">
        <f t="shared" si="1"/>
        <v>166.66666666666666</v>
      </c>
      <c r="J34">
        <f>I34+H34</f>
        <v>228.66666666666666</v>
      </c>
      <c r="L34" t="s">
        <v>30</v>
      </c>
      <c r="M34">
        <f t="shared" si="2"/>
        <v>43.333333333333336</v>
      </c>
      <c r="N34">
        <f t="shared" si="2"/>
        <v>132</v>
      </c>
      <c r="O34">
        <f>N34+M34</f>
        <v>175.33333333333334</v>
      </c>
      <c r="Q34" t="s">
        <v>30</v>
      </c>
      <c r="R34">
        <f t="shared" si="3"/>
        <v>20.333333333333332</v>
      </c>
      <c r="S34">
        <f t="shared" si="3"/>
        <v>98.333333333333329</v>
      </c>
      <c r="T34">
        <f>S34+R34</f>
        <v>118.66666666666666</v>
      </c>
      <c r="V34" t="s">
        <v>30</v>
      </c>
      <c r="W34">
        <f t="shared" si="4"/>
        <v>21.666666666666668</v>
      </c>
      <c r="X34">
        <f t="shared" si="4"/>
        <v>93.333333333333329</v>
      </c>
      <c r="Y34">
        <f>X34+W34</f>
        <v>115</v>
      </c>
    </row>
    <row r="35" spans="2:31" x14ac:dyDescent="0.2">
      <c r="B35" t="s">
        <v>156</v>
      </c>
      <c r="C35">
        <f t="shared" si="0"/>
        <v>20.451255853554702</v>
      </c>
      <c r="D35">
        <f t="shared" si="0"/>
        <v>79.548744146445301</v>
      </c>
      <c r="G35" t="s">
        <v>156</v>
      </c>
      <c r="H35">
        <f t="shared" si="1"/>
        <v>24.904541241890641</v>
      </c>
      <c r="I35">
        <f t="shared" si="1"/>
        <v>75.095458758109359</v>
      </c>
      <c r="L35" t="s">
        <v>156</v>
      </c>
      <c r="M35">
        <f t="shared" si="2"/>
        <v>24.482721989198676</v>
      </c>
      <c r="N35">
        <f t="shared" si="2"/>
        <v>75.51727801080132</v>
      </c>
      <c r="Q35" t="s">
        <v>156</v>
      </c>
      <c r="R35">
        <f t="shared" si="3"/>
        <v>17.042761870848338</v>
      </c>
      <c r="S35">
        <f t="shared" si="3"/>
        <v>82.957238129151662</v>
      </c>
      <c r="V35" t="s">
        <v>156</v>
      </c>
      <c r="W35">
        <f t="shared" si="4"/>
        <v>17.793347003873318</v>
      </c>
      <c r="X35">
        <f t="shared" si="4"/>
        <v>82.206652996126664</v>
      </c>
    </row>
    <row r="37" spans="2:31" x14ac:dyDescent="0.2">
      <c r="B37" t="s">
        <v>63</v>
      </c>
      <c r="C37">
        <f>STDEVA(C4,C13,C22)</f>
        <v>10.681272200651728</v>
      </c>
      <c r="D37">
        <f>STDEVA(D4,D13,D22)</f>
        <v>10.681272200651797</v>
      </c>
      <c r="G37" t="s">
        <v>63</v>
      </c>
      <c r="H37">
        <f>STDEVA(H4,H13,H22)</f>
        <v>3.1475235039420593</v>
      </c>
      <c r="I37">
        <f>STDEVA(I4,I13,I22)</f>
        <v>3.1475235039420624</v>
      </c>
      <c r="L37" t="s">
        <v>63</v>
      </c>
      <c r="M37">
        <f>STDEVA(M4,M13,M22)</f>
        <v>6.3130513552577368</v>
      </c>
      <c r="N37">
        <f>STDEVA(N4,N13,N22)</f>
        <v>6.313051355257735</v>
      </c>
      <c r="Q37" t="s">
        <v>63</v>
      </c>
      <c r="R37">
        <f>STDEVA(R4,R13,R22)</f>
        <v>10.980496385036364</v>
      </c>
      <c r="S37">
        <f>STDEVA(S4,S13,S22)</f>
        <v>10.980496385036451</v>
      </c>
      <c r="V37" t="s">
        <v>63</v>
      </c>
      <c r="W37">
        <f>STDEVA(W4,W13,W22)</f>
        <v>7.5701902947571416</v>
      </c>
      <c r="X37">
        <f>STDEVA(X4,X13,X22)</f>
        <v>7.5701902947571256</v>
      </c>
    </row>
    <row r="38" spans="2:31" x14ac:dyDescent="0.2">
      <c r="B38" t="s">
        <v>59</v>
      </c>
      <c r="C38">
        <f>(C37/SQRT(3))</f>
        <v>6.166835380333942</v>
      </c>
      <c r="D38">
        <f>(D37/SQRT(3))</f>
        <v>6.1668353803339819</v>
      </c>
      <c r="G38" t="s">
        <v>59</v>
      </c>
      <c r="H38">
        <f>(H37/SQRT(3))</f>
        <v>1.8172235422816221</v>
      </c>
      <c r="I38">
        <f>(I37/SQRT(3))</f>
        <v>1.8172235422816239</v>
      </c>
      <c r="L38" t="s">
        <v>59</v>
      </c>
      <c r="M38">
        <f>(M37/SQRT(3))</f>
        <v>3.6448418993659861</v>
      </c>
      <c r="N38">
        <f>(N37/SQRT(3))</f>
        <v>3.6448418993659852</v>
      </c>
      <c r="Q38" t="s">
        <v>59</v>
      </c>
      <c r="R38">
        <f>(R37/SQRT(3))</f>
        <v>6.3395925437364582</v>
      </c>
      <c r="S38">
        <f>(S37/SQRT(3))</f>
        <v>6.3395925437365079</v>
      </c>
      <c r="V38" t="s">
        <v>59</v>
      </c>
      <c r="W38">
        <f>(W37/SQRT(3))</f>
        <v>4.370651404494728</v>
      </c>
      <c r="X38">
        <f>(X37/SQRT(3))</f>
        <v>4.3706514044947191</v>
      </c>
    </row>
    <row r="39" spans="2:31" x14ac:dyDescent="0.2">
      <c r="B39" t="s">
        <v>63</v>
      </c>
      <c r="C39">
        <f>STDEVA(C6,C15,C24)</f>
        <v>6.2761692673022047</v>
      </c>
      <c r="D39">
        <f>STDEVA(D6,D15,D24)</f>
        <v>6.2761692673022029</v>
      </c>
      <c r="G39" t="s">
        <v>63</v>
      </c>
      <c r="H39">
        <f>STDEVA(H6,H15,H24)</f>
        <v>6.22314655020904</v>
      </c>
      <c r="I39">
        <f>STDEVA(I6,I15,I24)</f>
        <v>6.2231465502089893</v>
      </c>
      <c r="L39" t="s">
        <v>63</v>
      </c>
      <c r="M39">
        <f>STDEVA(M6,M15,M24)</f>
        <v>2.7732445533303101</v>
      </c>
      <c r="N39">
        <f>STDEVA(N6,N15,N24)</f>
        <v>2.7732445533303194</v>
      </c>
      <c r="Q39" t="s">
        <v>63</v>
      </c>
      <c r="R39">
        <f>STDEVA(R6,R15,R24)</f>
        <v>8.0748291531995946</v>
      </c>
      <c r="S39">
        <f>STDEVA(S6,S15,S24)</f>
        <v>8.0748291531995999</v>
      </c>
      <c r="V39" t="s">
        <v>63</v>
      </c>
      <c r="W39">
        <f>STDEVA(W6,W15,W24)</f>
        <v>6.4423016964947166</v>
      </c>
      <c r="X39">
        <f>STDEVA(X6,X15,X24)</f>
        <v>6.4423016964947202</v>
      </c>
    </row>
    <row r="40" spans="2:31" x14ac:dyDescent="0.2">
      <c r="B40" t="s">
        <v>59</v>
      </c>
      <c r="C40">
        <f>(C39/SQRT(3))</f>
        <v>3.6235480159565845</v>
      </c>
      <c r="D40">
        <f>(D39/SQRT(3))</f>
        <v>3.6235480159565832</v>
      </c>
      <c r="G40" t="s">
        <v>59</v>
      </c>
      <c r="H40">
        <f>(H39/SQRT(3))</f>
        <v>3.5929353359696803</v>
      </c>
      <c r="I40">
        <f>(I39/SQRT(3))</f>
        <v>3.592935335969651</v>
      </c>
      <c r="L40" t="s">
        <v>59</v>
      </c>
      <c r="M40">
        <f>(M39/SQRT(3))</f>
        <v>1.601133489393918</v>
      </c>
      <c r="N40">
        <f>(N39/SQRT(3))</f>
        <v>1.6011334893939235</v>
      </c>
      <c r="Q40" t="s">
        <v>59</v>
      </c>
      <c r="R40">
        <f>(R39/SQRT(3))</f>
        <v>4.6620047852600237</v>
      </c>
      <c r="S40">
        <f>(S39/SQRT(3))</f>
        <v>4.6620047852600273</v>
      </c>
      <c r="V40" t="s">
        <v>59</v>
      </c>
      <c r="W40">
        <f>(W39/SQRT(3))</f>
        <v>3.7194646186720077</v>
      </c>
      <c r="X40">
        <f>(X39/SQRT(3))</f>
        <v>3.7194646186720095</v>
      </c>
      <c r="Z40" s="114" t="s">
        <v>409</v>
      </c>
      <c r="AA40" s="114"/>
    </row>
    <row r="41" spans="2:31" x14ac:dyDescent="0.2">
      <c r="B41" t="s">
        <v>63</v>
      </c>
      <c r="C41">
        <f>STDEVA(C8,C17,C26)</f>
        <v>8.961271233822826</v>
      </c>
      <c r="D41">
        <f>STDEVA(D8,D17,D26)</f>
        <v>8.9612712338228295</v>
      </c>
      <c r="G41" t="s">
        <v>63</v>
      </c>
      <c r="H41">
        <f>STDEVA(H8,H17,H26)</f>
        <v>9.0897415725531516</v>
      </c>
      <c r="I41">
        <f>STDEVA(I8,I17,I26)</f>
        <v>9.0897415725531729</v>
      </c>
      <c r="L41" t="s">
        <v>63</v>
      </c>
      <c r="M41">
        <f>STDEVA(M8,M17,M26)</f>
        <v>4.9169580584608523</v>
      </c>
      <c r="N41">
        <f>STDEVA(N8,N17,N26)</f>
        <v>4.9169580584608656</v>
      </c>
      <c r="Q41" t="s">
        <v>63</v>
      </c>
      <c r="R41">
        <f>STDEVA(R8,R17,R26)</f>
        <v>3.3475411485540323</v>
      </c>
      <c r="S41">
        <f>STDEVA(S8,S17,S26)</f>
        <v>3.3475411485540243</v>
      </c>
      <c r="V41" t="s">
        <v>63</v>
      </c>
      <c r="W41">
        <f>STDEVA(W8,W17,W26)</f>
        <v>10.862385142433547</v>
      </c>
      <c r="X41">
        <f>STDEVA(X8,X17,X26)</f>
        <v>10.862385142433601</v>
      </c>
      <c r="Z41" s="167" t="s">
        <v>54</v>
      </c>
      <c r="AA41" s="167"/>
    </row>
    <row r="42" spans="2:31" x14ac:dyDescent="0.2">
      <c r="B42" t="s">
        <v>59</v>
      </c>
      <c r="C42">
        <f>(C41/SQRT(3))</f>
        <v>5.1737923591288588</v>
      </c>
      <c r="D42">
        <f>(D41/SQRT(3))</f>
        <v>5.1737923591288606</v>
      </c>
      <c r="G42" t="s">
        <v>59</v>
      </c>
      <c r="H42">
        <f>(H41/SQRT(3))</f>
        <v>5.2479647437776942</v>
      </c>
      <c r="I42">
        <f>(I41/SQRT(3))</f>
        <v>5.2479647437777066</v>
      </c>
      <c r="L42" t="s">
        <v>59</v>
      </c>
      <c r="M42">
        <f>(M41/SQRT(3))</f>
        <v>2.8388070586464731</v>
      </c>
      <c r="N42">
        <f>(N41/SQRT(3))</f>
        <v>2.8388070586464806</v>
      </c>
      <c r="Q42" t="s">
        <v>59</v>
      </c>
      <c r="R42">
        <f>(R41/SQRT(3))</f>
        <v>1.9327037832410197</v>
      </c>
      <c r="S42">
        <f>(S41/SQRT(3))</f>
        <v>1.932703783241015</v>
      </c>
      <c r="V42" t="s">
        <v>59</v>
      </c>
      <c r="W42">
        <f>(W41/SQRT(3))</f>
        <v>6.2714009860254007</v>
      </c>
      <c r="X42">
        <f>(X41/SQRT(3))</f>
        <v>6.2714009860254309</v>
      </c>
    </row>
    <row r="46" spans="2:31" x14ac:dyDescent="0.2">
      <c r="B46" t="s">
        <v>31</v>
      </c>
      <c r="E46" s="110" t="s">
        <v>288</v>
      </c>
      <c r="F46" s="110"/>
      <c r="K46" t="s">
        <v>31</v>
      </c>
      <c r="N46" s="110" t="s">
        <v>282</v>
      </c>
      <c r="O46" s="110"/>
      <c r="S46" t="s">
        <v>31</v>
      </c>
      <c r="V46" s="110" t="s">
        <v>419</v>
      </c>
      <c r="W46" s="110"/>
      <c r="AA46" t="s">
        <v>31</v>
      </c>
      <c r="AD46" s="110" t="s">
        <v>283</v>
      </c>
      <c r="AE46" s="110"/>
    </row>
    <row r="48" spans="2:31" ht="16" thickBot="1" x14ac:dyDescent="0.25">
      <c r="B48" t="s">
        <v>34</v>
      </c>
      <c r="K48" t="s">
        <v>34</v>
      </c>
      <c r="S48" t="s">
        <v>34</v>
      </c>
      <c r="AA48" t="s">
        <v>34</v>
      </c>
    </row>
    <row r="49" spans="2:33" x14ac:dyDescent="0.2">
      <c r="B49" s="3" t="s">
        <v>35</v>
      </c>
      <c r="C49" s="3" t="s">
        <v>36</v>
      </c>
      <c r="D49" s="3" t="s">
        <v>37</v>
      </c>
      <c r="E49" s="3" t="s">
        <v>38</v>
      </c>
      <c r="F49" s="3" t="s">
        <v>39</v>
      </c>
      <c r="K49" s="3" t="s">
        <v>35</v>
      </c>
      <c r="L49" s="3" t="s">
        <v>36</v>
      </c>
      <c r="M49" s="3" t="s">
        <v>37</v>
      </c>
      <c r="N49" s="3" t="s">
        <v>38</v>
      </c>
      <c r="O49" s="3" t="s">
        <v>39</v>
      </c>
      <c r="S49" s="3" t="s">
        <v>35</v>
      </c>
      <c r="T49" s="3" t="s">
        <v>36</v>
      </c>
      <c r="U49" s="3" t="s">
        <v>37</v>
      </c>
      <c r="V49" s="3" t="s">
        <v>38</v>
      </c>
      <c r="W49" s="3" t="s">
        <v>39</v>
      </c>
      <c r="AA49" s="3" t="s">
        <v>35</v>
      </c>
      <c r="AB49" s="3" t="s">
        <v>36</v>
      </c>
      <c r="AC49" s="3" t="s">
        <v>37</v>
      </c>
      <c r="AD49" s="3" t="s">
        <v>38</v>
      </c>
      <c r="AE49" s="3" t="s">
        <v>39</v>
      </c>
    </row>
    <row r="50" spans="2:33" x14ac:dyDescent="0.2">
      <c r="B50" t="s">
        <v>41</v>
      </c>
      <c r="C50">
        <v>3</v>
      </c>
      <c r="D50">
        <v>237.54082434506972</v>
      </c>
      <c r="E50">
        <v>79.180274781689903</v>
      </c>
      <c r="F50">
        <v>114.0895758244169</v>
      </c>
      <c r="K50" t="s">
        <v>41</v>
      </c>
      <c r="L50">
        <v>3</v>
      </c>
      <c r="M50">
        <v>119.61207567735907</v>
      </c>
      <c r="N50">
        <v>39.870691892453024</v>
      </c>
      <c r="O50">
        <v>9.9069042078677185</v>
      </c>
      <c r="S50" t="s">
        <v>41</v>
      </c>
      <c r="T50">
        <v>3</v>
      </c>
      <c r="U50">
        <v>182.28704947143419</v>
      </c>
      <c r="V50">
        <v>60.762349823811398</v>
      </c>
      <c r="W50">
        <v>154.37893157957933</v>
      </c>
      <c r="AA50" t="s">
        <v>41</v>
      </c>
      <c r="AB50">
        <v>3</v>
      </c>
      <c r="AC50">
        <v>225.28637627432809</v>
      </c>
      <c r="AD50">
        <v>75.095458758109359</v>
      </c>
      <c r="AE50">
        <v>82.623401855801433</v>
      </c>
    </row>
    <row r="51" spans="2:33" ht="16" thickBot="1" x14ac:dyDescent="0.25">
      <c r="B51" s="4" t="s">
        <v>42</v>
      </c>
      <c r="C51" s="4">
        <v>3</v>
      </c>
      <c r="D51" s="4">
        <v>119.61207567735907</v>
      </c>
      <c r="E51" s="4">
        <v>39.870691892453024</v>
      </c>
      <c r="F51" s="4">
        <v>9.9069042078677185</v>
      </c>
      <c r="K51" s="4" t="s">
        <v>42</v>
      </c>
      <c r="L51" s="4">
        <v>3</v>
      </c>
      <c r="M51" s="4">
        <v>227.004694492266</v>
      </c>
      <c r="N51" s="4">
        <v>75.668231497421999</v>
      </c>
      <c r="O51" s="4">
        <v>39.85461741412152</v>
      </c>
      <c r="S51" s="4" t="s">
        <v>42</v>
      </c>
      <c r="T51" s="4">
        <v>3</v>
      </c>
      <c r="U51" s="4">
        <v>250.94119647198099</v>
      </c>
      <c r="V51" s="4">
        <v>83.647065490660324</v>
      </c>
      <c r="W51" s="4">
        <v>7.6908853525762817</v>
      </c>
      <c r="AA51" s="4" t="s">
        <v>42</v>
      </c>
      <c r="AB51" s="4">
        <v>3</v>
      </c>
      <c r="AC51" s="4">
        <v>226.55183403240397</v>
      </c>
      <c r="AD51" s="4">
        <v>75.51727801080132</v>
      </c>
      <c r="AE51" s="4">
        <v>24.176476548663242</v>
      </c>
    </row>
    <row r="54" spans="2:33" ht="16" thickBot="1" x14ac:dyDescent="0.25">
      <c r="B54" t="s">
        <v>44</v>
      </c>
      <c r="K54" t="s">
        <v>44</v>
      </c>
      <c r="S54" t="s">
        <v>44</v>
      </c>
      <c r="AA54" t="s">
        <v>44</v>
      </c>
    </row>
    <row r="55" spans="2:33" x14ac:dyDescent="0.2">
      <c r="B55" s="3" t="s">
        <v>45</v>
      </c>
      <c r="C55" s="3" t="s">
        <v>46</v>
      </c>
      <c r="D55" s="3" t="s">
        <v>47</v>
      </c>
      <c r="E55" s="3" t="s">
        <v>48</v>
      </c>
      <c r="F55" s="3" t="s">
        <v>49</v>
      </c>
      <c r="G55" s="3" t="s">
        <v>50</v>
      </c>
      <c r="H55" s="3" t="s">
        <v>51</v>
      </c>
      <c r="K55" s="3" t="s">
        <v>45</v>
      </c>
      <c r="L55" s="3" t="s">
        <v>46</v>
      </c>
      <c r="M55" s="3" t="s">
        <v>47</v>
      </c>
      <c r="N55" s="3" t="s">
        <v>48</v>
      </c>
      <c r="O55" s="3" t="s">
        <v>49</v>
      </c>
      <c r="P55" s="3" t="s">
        <v>50</v>
      </c>
      <c r="Q55" s="3" t="s">
        <v>51</v>
      </c>
      <c r="S55" s="3" t="s">
        <v>45</v>
      </c>
      <c r="T55" s="3" t="s">
        <v>46</v>
      </c>
      <c r="U55" s="3" t="s">
        <v>47</v>
      </c>
      <c r="V55" s="3" t="s">
        <v>48</v>
      </c>
      <c r="W55" s="3" t="s">
        <v>49</v>
      </c>
      <c r="X55" s="3" t="s">
        <v>50</v>
      </c>
      <c r="Y55" s="3" t="s">
        <v>51</v>
      </c>
      <c r="AA55" s="3" t="s">
        <v>45</v>
      </c>
      <c r="AB55" s="3" t="s">
        <v>46</v>
      </c>
      <c r="AC55" s="3" t="s">
        <v>47</v>
      </c>
      <c r="AD55" s="3" t="s">
        <v>48</v>
      </c>
      <c r="AE55" s="3" t="s">
        <v>49</v>
      </c>
      <c r="AF55" s="3" t="s">
        <v>50</v>
      </c>
      <c r="AG55" s="3" t="s">
        <v>51</v>
      </c>
    </row>
    <row r="56" spans="2:33" x14ac:dyDescent="0.2">
      <c r="B56" t="s">
        <v>52</v>
      </c>
      <c r="C56">
        <v>2317.8649603886779</v>
      </c>
      <c r="D56">
        <v>1</v>
      </c>
      <c r="E56">
        <v>2317.8649603886779</v>
      </c>
      <c r="F56">
        <v>37.385979985644909</v>
      </c>
      <c r="G56">
        <v>3.6224558650077548E-3</v>
      </c>
      <c r="H56">
        <v>7.708647422176786</v>
      </c>
      <c r="K56" t="s">
        <v>52</v>
      </c>
      <c r="L56">
        <v>1922.1957626539829</v>
      </c>
      <c r="M56">
        <v>1</v>
      </c>
      <c r="N56">
        <v>1922.1957626539829</v>
      </c>
      <c r="O56">
        <v>77.256309694701102</v>
      </c>
      <c r="P56">
        <v>9.2407295865899362E-4</v>
      </c>
      <c r="Q56">
        <v>7.708647422176786</v>
      </c>
      <c r="S56" t="s">
        <v>52</v>
      </c>
      <c r="T56">
        <v>785.56531672878145</v>
      </c>
      <c r="U56">
        <v>1</v>
      </c>
      <c r="V56">
        <v>785.56531672878145</v>
      </c>
      <c r="W56">
        <v>9.6941593641415409</v>
      </c>
      <c r="X56">
        <v>3.5749063553798095E-2</v>
      </c>
      <c r="Y56">
        <v>7.708647422176786</v>
      </c>
      <c r="AA56" t="s">
        <v>52</v>
      </c>
      <c r="AB56">
        <v>0.26689722291240514</v>
      </c>
      <c r="AC56">
        <v>1</v>
      </c>
      <c r="AD56">
        <v>0.26689722291240514</v>
      </c>
      <c r="AE56">
        <v>4.9980810259283538E-3</v>
      </c>
      <c r="AF56">
        <v>0.9470323078623567</v>
      </c>
      <c r="AG56">
        <v>7.708647422176786</v>
      </c>
    </row>
    <row r="57" spans="2:33" x14ac:dyDescent="0.2">
      <c r="B57" t="s">
        <v>53</v>
      </c>
      <c r="C57">
        <v>247.99296006456626</v>
      </c>
      <c r="D57">
        <v>4</v>
      </c>
      <c r="E57">
        <v>61.998240016141565</v>
      </c>
      <c r="K57" t="s">
        <v>53</v>
      </c>
      <c r="L57">
        <v>99.523043243978478</v>
      </c>
      <c r="M57">
        <v>4</v>
      </c>
      <c r="N57">
        <v>24.880760810994619</v>
      </c>
      <c r="S57" t="s">
        <v>53</v>
      </c>
      <c r="T57">
        <v>324.13963386431152</v>
      </c>
      <c r="U57">
        <v>4</v>
      </c>
      <c r="V57">
        <v>81.03490846607788</v>
      </c>
      <c r="AA57" t="s">
        <v>53</v>
      </c>
      <c r="AB57">
        <v>213.59975680892936</v>
      </c>
      <c r="AC57">
        <v>4</v>
      </c>
      <c r="AD57">
        <v>53.399939202232339</v>
      </c>
    </row>
    <row r="60" spans="2:33" ht="16" thickBot="1" x14ac:dyDescent="0.25">
      <c r="B60" s="4" t="s">
        <v>55</v>
      </c>
      <c r="C60" s="4">
        <v>2565.8579204532443</v>
      </c>
      <c r="D60" s="4">
        <v>5</v>
      </c>
      <c r="E60" s="4"/>
      <c r="F60" s="4"/>
      <c r="G60" s="4"/>
      <c r="H60" s="4"/>
      <c r="K60" s="4" t="s">
        <v>55</v>
      </c>
      <c r="L60" s="4">
        <v>2021.7188058979614</v>
      </c>
      <c r="M60" s="4">
        <v>5</v>
      </c>
      <c r="N60" s="4"/>
      <c r="O60" s="4"/>
      <c r="P60" s="4"/>
      <c r="Q60" s="4"/>
      <c r="S60" s="4" t="s">
        <v>55</v>
      </c>
      <c r="T60" s="4">
        <v>1109.7049505930929</v>
      </c>
      <c r="U60" s="4">
        <v>5</v>
      </c>
      <c r="V60" s="4"/>
      <c r="W60" s="4"/>
      <c r="X60" s="4"/>
      <c r="Y60" s="4"/>
      <c r="AA60" s="4" t="s">
        <v>55</v>
      </c>
      <c r="AB60" s="4">
        <v>213.86665403184176</v>
      </c>
      <c r="AC60" s="4">
        <v>5</v>
      </c>
      <c r="AD60" s="4"/>
      <c r="AE60" s="4"/>
      <c r="AF60" s="4"/>
      <c r="AG60" s="4"/>
    </row>
    <row r="62" spans="2:33" x14ac:dyDescent="0.2">
      <c r="B62" t="s">
        <v>31</v>
      </c>
      <c r="E62" s="110" t="s">
        <v>289</v>
      </c>
      <c r="F62" s="110"/>
    </row>
    <row r="63" spans="2:33" x14ac:dyDescent="0.2">
      <c r="K63" t="s">
        <v>31</v>
      </c>
      <c r="N63" s="110" t="s">
        <v>284</v>
      </c>
      <c r="O63" s="110"/>
      <c r="S63" t="s">
        <v>31</v>
      </c>
      <c r="V63" s="110" t="s">
        <v>420</v>
      </c>
      <c r="W63" s="110"/>
      <c r="AA63" t="s">
        <v>31</v>
      </c>
      <c r="AD63" s="110" t="s">
        <v>285</v>
      </c>
      <c r="AE63" s="110"/>
    </row>
    <row r="64" spans="2:33" ht="16" thickBot="1" x14ac:dyDescent="0.25">
      <c r="B64" t="s">
        <v>34</v>
      </c>
    </row>
    <row r="65" spans="2:33" ht="16" thickBot="1" x14ac:dyDescent="0.25">
      <c r="B65" s="3" t="s">
        <v>35</v>
      </c>
      <c r="C65" s="3" t="s">
        <v>36</v>
      </c>
      <c r="D65" s="3" t="s">
        <v>37</v>
      </c>
      <c r="E65" s="3" t="s">
        <v>38</v>
      </c>
      <c r="F65" s="3" t="s">
        <v>39</v>
      </c>
      <c r="K65" t="s">
        <v>34</v>
      </c>
      <c r="S65" t="s">
        <v>34</v>
      </c>
      <c r="AA65" t="s">
        <v>34</v>
      </c>
    </row>
    <row r="66" spans="2:33" x14ac:dyDescent="0.2">
      <c r="B66" t="s">
        <v>41</v>
      </c>
      <c r="C66">
        <v>3</v>
      </c>
      <c r="D66">
        <v>251.02240120815503</v>
      </c>
      <c r="E66">
        <v>83.674133736051672</v>
      </c>
      <c r="F66">
        <v>39.390300671828676</v>
      </c>
      <c r="K66" s="3" t="s">
        <v>35</v>
      </c>
      <c r="L66" s="3" t="s">
        <v>36</v>
      </c>
      <c r="M66" s="3" t="s">
        <v>37</v>
      </c>
      <c r="N66" s="3" t="s">
        <v>38</v>
      </c>
      <c r="O66" s="3" t="s">
        <v>39</v>
      </c>
      <c r="S66" s="3" t="s">
        <v>35</v>
      </c>
      <c r="T66" s="3" t="s">
        <v>36</v>
      </c>
      <c r="U66" s="3" t="s">
        <v>37</v>
      </c>
      <c r="V66" s="3" t="s">
        <v>38</v>
      </c>
      <c r="W66" s="3" t="s">
        <v>39</v>
      </c>
      <c r="AA66" s="3" t="s">
        <v>35</v>
      </c>
      <c r="AB66" s="3" t="s">
        <v>36</v>
      </c>
      <c r="AC66" s="3" t="s">
        <v>37</v>
      </c>
      <c r="AD66" s="3" t="s">
        <v>38</v>
      </c>
      <c r="AE66" s="3" t="s">
        <v>39</v>
      </c>
    </row>
    <row r="67" spans="2:33" ht="16" thickBot="1" x14ac:dyDescent="0.25">
      <c r="B67" s="4" t="s">
        <v>42</v>
      </c>
      <c r="C67" s="4">
        <v>3</v>
      </c>
      <c r="D67" s="4">
        <v>182.28704947143419</v>
      </c>
      <c r="E67" s="4">
        <v>60.762349823811398</v>
      </c>
      <c r="F67" s="4">
        <v>154.37893157957933</v>
      </c>
      <c r="K67" t="s">
        <v>41</v>
      </c>
      <c r="L67">
        <v>3</v>
      </c>
      <c r="M67">
        <v>119.61207567735907</v>
      </c>
      <c r="N67">
        <v>39.870691892453024</v>
      </c>
      <c r="O67">
        <v>9.9069042078677185</v>
      </c>
      <c r="S67" t="s">
        <v>41</v>
      </c>
      <c r="T67">
        <v>3</v>
      </c>
      <c r="U67">
        <v>170.70479209852456</v>
      </c>
      <c r="V67">
        <v>56.901597366174855</v>
      </c>
      <c r="W67">
        <v>43.778992872366146</v>
      </c>
      <c r="AA67" t="s">
        <v>41</v>
      </c>
      <c r="AB67">
        <v>3</v>
      </c>
      <c r="AC67">
        <v>225.28637627432809</v>
      </c>
      <c r="AD67">
        <v>75.095458758109359</v>
      </c>
      <c r="AE67">
        <v>82.623401855801433</v>
      </c>
    </row>
    <row r="68" spans="2:33" ht="16" thickBot="1" x14ac:dyDescent="0.25">
      <c r="K68" s="4" t="s">
        <v>42</v>
      </c>
      <c r="L68" s="4">
        <v>3</v>
      </c>
      <c r="M68" s="4">
        <v>226.18662282391824</v>
      </c>
      <c r="N68" s="4">
        <v>75.395540941306081</v>
      </c>
      <c r="O68" s="4">
        <v>120.57130086179859</v>
      </c>
      <c r="S68" s="4" t="s">
        <v>42</v>
      </c>
      <c r="T68" s="4">
        <v>3</v>
      </c>
      <c r="U68" s="4">
        <v>249.27357374508563</v>
      </c>
      <c r="V68" s="4">
        <v>83.091191248361881</v>
      </c>
      <c r="W68" s="4">
        <v>65.202865853362169</v>
      </c>
      <c r="AA68" s="4" t="s">
        <v>42</v>
      </c>
      <c r="AB68" s="4">
        <v>3</v>
      </c>
      <c r="AC68" s="4">
        <v>248.87171438745497</v>
      </c>
      <c r="AD68" s="4">
        <v>82.957238129151662</v>
      </c>
      <c r="AE68" s="4">
        <v>11.206031741262397</v>
      </c>
    </row>
    <row r="69" spans="2:33" x14ac:dyDescent="0.2">
      <c r="Q69" s="165"/>
      <c r="R69" s="165"/>
    </row>
    <row r="70" spans="2:33" ht="16" thickBot="1" x14ac:dyDescent="0.25">
      <c r="B70" t="s">
        <v>44</v>
      </c>
      <c r="Q70" s="173"/>
      <c r="R70" s="173"/>
    </row>
    <row r="71" spans="2:33" ht="16" thickBot="1" x14ac:dyDescent="0.25">
      <c r="B71" s="3" t="s">
        <v>45</v>
      </c>
      <c r="C71" s="3" t="s">
        <v>46</v>
      </c>
      <c r="D71" s="3" t="s">
        <v>47</v>
      </c>
      <c r="E71" s="3" t="s">
        <v>48</v>
      </c>
      <c r="F71" s="3" t="s">
        <v>49</v>
      </c>
      <c r="G71" s="3" t="s">
        <v>50</v>
      </c>
      <c r="H71" s="3" t="s">
        <v>51</v>
      </c>
      <c r="K71" t="s">
        <v>44</v>
      </c>
      <c r="S71" t="s">
        <v>44</v>
      </c>
      <c r="AA71" t="s">
        <v>44</v>
      </c>
    </row>
    <row r="72" spans="2:33" x14ac:dyDescent="0.2">
      <c r="B72" t="s">
        <v>52</v>
      </c>
      <c r="C72">
        <v>787.42476306178912</v>
      </c>
      <c r="D72">
        <v>1</v>
      </c>
      <c r="E72">
        <v>787.42476306178912</v>
      </c>
      <c r="F72">
        <v>8.1274488618516667</v>
      </c>
      <c r="G72">
        <v>4.6355104034534252E-2</v>
      </c>
      <c r="H72">
        <v>7.708647422176786</v>
      </c>
      <c r="K72" s="3" t="s">
        <v>45</v>
      </c>
      <c r="L72" s="3" t="s">
        <v>46</v>
      </c>
      <c r="M72" s="3" t="s">
        <v>47</v>
      </c>
      <c r="N72" s="3" t="s">
        <v>48</v>
      </c>
      <c r="O72" s="3" t="s">
        <v>49</v>
      </c>
      <c r="P72" s="3" t="s">
        <v>50</v>
      </c>
      <c r="Q72" s="3" t="s">
        <v>51</v>
      </c>
      <c r="S72" s="3" t="s">
        <v>45</v>
      </c>
      <c r="T72" s="3" t="s">
        <v>46</v>
      </c>
      <c r="U72" s="3" t="s">
        <v>47</v>
      </c>
      <c r="V72" s="3" t="s">
        <v>48</v>
      </c>
      <c r="W72" s="3" t="s">
        <v>49</v>
      </c>
      <c r="X72" s="3" t="s">
        <v>50</v>
      </c>
      <c r="Y72" s="3" t="s">
        <v>51</v>
      </c>
      <c r="AA72" s="3" t="s">
        <v>45</v>
      </c>
      <c r="AB72" s="3" t="s">
        <v>46</v>
      </c>
      <c r="AC72" s="3" t="s">
        <v>47</v>
      </c>
      <c r="AD72" s="3" t="s">
        <v>48</v>
      </c>
      <c r="AE72" s="3" t="s">
        <v>49</v>
      </c>
      <c r="AF72" s="3" t="s">
        <v>50</v>
      </c>
      <c r="AG72" s="3" t="s">
        <v>51</v>
      </c>
    </row>
    <row r="73" spans="2:33" x14ac:dyDescent="0.2">
      <c r="B73" t="s">
        <v>53</v>
      </c>
      <c r="C73">
        <v>387.53846450281628</v>
      </c>
      <c r="D73">
        <v>4</v>
      </c>
      <c r="E73">
        <v>96.884616125704071</v>
      </c>
      <c r="K73" t="s">
        <v>52</v>
      </c>
      <c r="L73">
        <v>1893.0223499156943</v>
      </c>
      <c r="M73">
        <v>1</v>
      </c>
      <c r="N73">
        <v>1893.0223499156943</v>
      </c>
      <c r="O73">
        <v>29.016682884394026</v>
      </c>
      <c r="P73">
        <v>5.7428400053630172E-3</v>
      </c>
      <c r="Q73">
        <v>7.708647422176786</v>
      </c>
      <c r="S73" t="s">
        <v>52</v>
      </c>
      <c r="T73">
        <v>1028.8422415708319</v>
      </c>
      <c r="U73">
        <v>1</v>
      </c>
      <c r="V73">
        <v>1028.8422415708319</v>
      </c>
      <c r="W73">
        <v>18.880981726694372</v>
      </c>
      <c r="X73">
        <v>1.2202740748290392E-2</v>
      </c>
      <c r="Y73">
        <v>7.708647422176786</v>
      </c>
      <c r="AA73" t="s">
        <v>52</v>
      </c>
      <c r="AB73">
        <v>92.71136231841939</v>
      </c>
      <c r="AC73">
        <v>1</v>
      </c>
      <c r="AD73">
        <v>92.71136231841939</v>
      </c>
      <c r="AE73">
        <v>1.9761680053735415</v>
      </c>
      <c r="AF73">
        <v>0.23251123306150057</v>
      </c>
      <c r="AG73">
        <v>7.708647422176786</v>
      </c>
    </row>
    <row r="74" spans="2:33" x14ac:dyDescent="0.2">
      <c r="K74" t="s">
        <v>53</v>
      </c>
      <c r="L74">
        <v>260.95641013932908</v>
      </c>
      <c r="M74">
        <v>4</v>
      </c>
      <c r="N74">
        <v>65.23910253483227</v>
      </c>
      <c r="S74" t="s">
        <v>53</v>
      </c>
      <c r="T74">
        <v>217.96371745145663</v>
      </c>
      <c r="U74">
        <v>4</v>
      </c>
      <c r="V74">
        <v>54.490929362864158</v>
      </c>
      <c r="AA74" t="s">
        <v>53</v>
      </c>
      <c r="AB74">
        <v>187.65886719412765</v>
      </c>
      <c r="AC74">
        <v>4</v>
      </c>
      <c r="AD74">
        <v>46.914716798531913</v>
      </c>
    </row>
    <row r="76" spans="2:33" ht="16" thickBot="1" x14ac:dyDescent="0.25">
      <c r="K76" s="4" t="s">
        <v>55</v>
      </c>
      <c r="L76" s="4">
        <v>2153.9787600550235</v>
      </c>
      <c r="M76" s="4">
        <v>5</v>
      </c>
      <c r="N76" s="4"/>
      <c r="O76" s="4"/>
      <c r="P76" s="4"/>
      <c r="Q76" s="4"/>
      <c r="S76" s="4" t="s">
        <v>55</v>
      </c>
      <c r="T76" s="4">
        <v>1246.8059590222886</v>
      </c>
      <c r="U76" s="4">
        <v>5</v>
      </c>
      <c r="V76" s="4"/>
      <c r="W76" s="4"/>
      <c r="X76" s="4"/>
      <c r="Y76" s="4"/>
      <c r="AA76" s="4" t="s">
        <v>55</v>
      </c>
      <c r="AB76" s="4">
        <v>280.37022951254704</v>
      </c>
      <c r="AC76" s="4">
        <v>5</v>
      </c>
      <c r="AD76" s="4"/>
      <c r="AE76" s="4"/>
      <c r="AF76" s="4"/>
      <c r="AG76" s="4"/>
    </row>
    <row r="77" spans="2:33" ht="16" thickBot="1" x14ac:dyDescent="0.25">
      <c r="B77" s="4" t="s">
        <v>55</v>
      </c>
      <c r="C77" s="4">
        <v>1174.9632275646054</v>
      </c>
      <c r="D77" s="4">
        <v>5</v>
      </c>
      <c r="E77" s="4"/>
      <c r="F77" s="4"/>
      <c r="G77" s="4"/>
      <c r="H77" s="4"/>
    </row>
    <row r="78" spans="2:33" x14ac:dyDescent="0.2">
      <c r="K78" t="s">
        <v>31</v>
      </c>
      <c r="N78" s="110" t="s">
        <v>286</v>
      </c>
      <c r="O78" s="110"/>
      <c r="S78" t="s">
        <v>31</v>
      </c>
      <c r="V78" s="110" t="s">
        <v>421</v>
      </c>
      <c r="W78" s="110"/>
      <c r="AA78" t="s">
        <v>31</v>
      </c>
      <c r="AD78" s="110" t="s">
        <v>287</v>
      </c>
      <c r="AE78" s="110"/>
    </row>
    <row r="79" spans="2:33" x14ac:dyDescent="0.2">
      <c r="B79" t="s">
        <v>31</v>
      </c>
      <c r="E79" s="127" t="s">
        <v>290</v>
      </c>
      <c r="F79" s="127"/>
    </row>
    <row r="80" spans="2:33" ht="16" thickBot="1" x14ac:dyDescent="0.25">
      <c r="K80" t="s">
        <v>34</v>
      </c>
      <c r="S80" t="s">
        <v>34</v>
      </c>
      <c r="AA80" t="s">
        <v>34</v>
      </c>
    </row>
    <row r="81" spans="2:33" ht="16" thickBot="1" x14ac:dyDescent="0.25">
      <c r="B81" t="s">
        <v>34</v>
      </c>
      <c r="K81" s="3" t="s">
        <v>35</v>
      </c>
      <c r="L81" s="3" t="s">
        <v>36</v>
      </c>
      <c r="M81" s="3" t="s">
        <v>37</v>
      </c>
      <c r="N81" s="3" t="s">
        <v>38</v>
      </c>
      <c r="O81" s="3" t="s">
        <v>39</v>
      </c>
      <c r="S81" s="3" t="s">
        <v>35</v>
      </c>
      <c r="T81" s="3" t="s">
        <v>36</v>
      </c>
      <c r="U81" s="3" t="s">
        <v>37</v>
      </c>
      <c r="V81" s="3" t="s">
        <v>38</v>
      </c>
      <c r="W81" s="3" t="s">
        <v>39</v>
      </c>
      <c r="AA81" s="3" t="s">
        <v>35</v>
      </c>
      <c r="AB81" s="3" t="s">
        <v>36</v>
      </c>
      <c r="AC81" s="3" t="s">
        <v>37</v>
      </c>
      <c r="AD81" s="3" t="s">
        <v>38</v>
      </c>
      <c r="AE81" s="3" t="s">
        <v>39</v>
      </c>
    </row>
    <row r="82" spans="2:33" x14ac:dyDescent="0.2">
      <c r="B82" s="3" t="s">
        <v>35</v>
      </c>
      <c r="C82" s="3" t="s">
        <v>36</v>
      </c>
      <c r="D82" s="3" t="s">
        <v>37</v>
      </c>
      <c r="E82" s="3" t="s">
        <v>38</v>
      </c>
      <c r="F82" s="3" t="s">
        <v>39</v>
      </c>
      <c r="K82" t="s">
        <v>41</v>
      </c>
      <c r="L82">
        <v>3</v>
      </c>
      <c r="M82">
        <v>119.61207567735907</v>
      </c>
      <c r="N82">
        <v>39.870691892453024</v>
      </c>
      <c r="O82">
        <v>9.9069042078677185</v>
      </c>
      <c r="S82" t="s">
        <v>41</v>
      </c>
      <c r="T82">
        <v>3</v>
      </c>
      <c r="U82">
        <v>170.70479209852456</v>
      </c>
      <c r="V82">
        <v>56.901597366174855</v>
      </c>
      <c r="W82">
        <v>43.778992872366146</v>
      </c>
      <c r="AA82" t="s">
        <v>41</v>
      </c>
      <c r="AB82">
        <v>3</v>
      </c>
      <c r="AC82">
        <v>225.28637627432809</v>
      </c>
      <c r="AD82">
        <v>75.095458758109359</v>
      </c>
      <c r="AE82">
        <v>82.623401855801433</v>
      </c>
    </row>
    <row r="83" spans="2:33" ht="16" thickBot="1" x14ac:dyDescent="0.25">
      <c r="B83" t="s">
        <v>41</v>
      </c>
      <c r="C83">
        <v>3</v>
      </c>
      <c r="D83">
        <v>238.6462324393359</v>
      </c>
      <c r="E83">
        <v>79.548744146445301</v>
      </c>
      <c r="F83">
        <v>80.304382126140538</v>
      </c>
      <c r="K83" s="4" t="s">
        <v>42</v>
      </c>
      <c r="L83" s="4">
        <v>3</v>
      </c>
      <c r="M83" s="4">
        <v>240.68792483186155</v>
      </c>
      <c r="N83" s="4">
        <v>80.229308277287188</v>
      </c>
      <c r="O83" s="4">
        <v>57.307781098834973</v>
      </c>
      <c r="S83" s="4" t="s">
        <v>42</v>
      </c>
      <c r="T83" s="4">
        <v>3</v>
      </c>
      <c r="U83" s="4">
        <v>238.24799401604787</v>
      </c>
      <c r="V83" s="4">
        <v>79.415998005349294</v>
      </c>
      <c r="W83" s="4">
        <v>41.503251148658748</v>
      </c>
      <c r="AA83" s="4" t="s">
        <v>42</v>
      </c>
      <c r="AB83" s="4">
        <v>3</v>
      </c>
      <c r="AC83" s="4">
        <v>246.61995898838001</v>
      </c>
      <c r="AD83" s="4">
        <v>82.206652996126664</v>
      </c>
      <c r="AE83" s="4">
        <v>117.99141098256223</v>
      </c>
    </row>
    <row r="84" spans="2:33" ht="16" thickBot="1" x14ac:dyDescent="0.25">
      <c r="B84" s="4" t="s">
        <v>42</v>
      </c>
      <c r="C84" s="4">
        <v>3</v>
      </c>
      <c r="D84" s="4">
        <v>225.28637627432809</v>
      </c>
      <c r="E84" s="4">
        <v>75.095458758109359</v>
      </c>
      <c r="F84" s="4">
        <v>82.623401855801433</v>
      </c>
    </row>
    <row r="86" spans="2:33" ht="16" thickBot="1" x14ac:dyDescent="0.25">
      <c r="K86" t="s">
        <v>44</v>
      </c>
      <c r="S86" t="s">
        <v>44</v>
      </c>
      <c r="AA86" t="s">
        <v>44</v>
      </c>
    </row>
    <row r="87" spans="2:33" ht="16" thickBot="1" x14ac:dyDescent="0.25">
      <c r="B87" t="s">
        <v>44</v>
      </c>
      <c r="K87" s="3" t="s">
        <v>45</v>
      </c>
      <c r="L87" s="3" t="s">
        <v>46</v>
      </c>
      <c r="M87" s="3" t="s">
        <v>47</v>
      </c>
      <c r="N87" s="3" t="s">
        <v>48</v>
      </c>
      <c r="O87" s="3" t="s">
        <v>49</v>
      </c>
      <c r="P87" s="3" t="s">
        <v>50</v>
      </c>
      <c r="Q87" s="3" t="s">
        <v>51</v>
      </c>
      <c r="S87" s="3" t="s">
        <v>45</v>
      </c>
      <c r="T87" s="3" t="s">
        <v>46</v>
      </c>
      <c r="U87" s="3" t="s">
        <v>47</v>
      </c>
      <c r="V87" s="3" t="s">
        <v>48</v>
      </c>
      <c r="W87" s="3" t="s">
        <v>49</v>
      </c>
      <c r="X87" s="3" t="s">
        <v>50</v>
      </c>
      <c r="Y87" s="3" t="s">
        <v>51</v>
      </c>
      <c r="AA87" s="3" t="s">
        <v>45</v>
      </c>
      <c r="AB87" s="3" t="s">
        <v>46</v>
      </c>
      <c r="AC87" s="3" t="s">
        <v>47</v>
      </c>
      <c r="AD87" s="3" t="s">
        <v>48</v>
      </c>
      <c r="AE87" s="3" t="s">
        <v>49</v>
      </c>
      <c r="AF87" s="3" t="s">
        <v>50</v>
      </c>
      <c r="AG87" s="3" t="s">
        <v>51</v>
      </c>
    </row>
    <row r="88" spans="2:33" x14ac:dyDescent="0.2">
      <c r="B88" s="3" t="s">
        <v>45</v>
      </c>
      <c r="C88" s="3" t="s">
        <v>46</v>
      </c>
      <c r="D88" s="3" t="s">
        <v>47</v>
      </c>
      <c r="E88" s="3" t="s">
        <v>48</v>
      </c>
      <c r="F88" s="3" t="s">
        <v>49</v>
      </c>
      <c r="G88" s="3" t="s">
        <v>50</v>
      </c>
      <c r="H88" s="3" t="s">
        <v>51</v>
      </c>
      <c r="K88" t="s">
        <v>52</v>
      </c>
      <c r="L88">
        <v>2443.2268747473058</v>
      </c>
      <c r="M88">
        <v>1</v>
      </c>
      <c r="N88">
        <v>2443.2268747473058</v>
      </c>
      <c r="O88">
        <v>72.699198503981265</v>
      </c>
      <c r="P88">
        <v>1.0381974836103283E-3</v>
      </c>
      <c r="Q88">
        <v>7.708647422176786</v>
      </c>
      <c r="S88" t="s">
        <v>52</v>
      </c>
      <c r="T88">
        <v>760.3473542118868</v>
      </c>
      <c r="U88">
        <v>1</v>
      </c>
      <c r="V88">
        <v>760.3473542118868</v>
      </c>
      <c r="W88">
        <v>17.83131677502379</v>
      </c>
      <c r="X88">
        <v>1.3448298007086197E-2</v>
      </c>
      <c r="Y88">
        <v>7.708647422176786</v>
      </c>
      <c r="AA88" t="s">
        <v>52</v>
      </c>
      <c r="AB88">
        <v>75.853625236215862</v>
      </c>
      <c r="AC88">
        <v>1</v>
      </c>
      <c r="AD88">
        <v>75.853625236215862</v>
      </c>
      <c r="AE88">
        <v>0.75621160933247666</v>
      </c>
      <c r="AF88">
        <v>0.43358706748500209</v>
      </c>
      <c r="AG88">
        <v>7.708647422176786</v>
      </c>
    </row>
    <row r="89" spans="2:33" x14ac:dyDescent="0.2">
      <c r="B89" t="s">
        <v>52</v>
      </c>
      <c r="C89">
        <v>29.747626124949591</v>
      </c>
      <c r="D89">
        <v>1</v>
      </c>
      <c r="E89">
        <v>29.747626124949591</v>
      </c>
      <c r="F89">
        <v>0.36516333062317546</v>
      </c>
      <c r="G89">
        <v>0.57825262852168902</v>
      </c>
      <c r="H89">
        <v>7.708647422176786</v>
      </c>
      <c r="K89" t="s">
        <v>53</v>
      </c>
      <c r="L89">
        <v>134.42937061340538</v>
      </c>
      <c r="M89">
        <v>4</v>
      </c>
      <c r="N89">
        <v>33.607342653351346</v>
      </c>
      <c r="S89" t="s">
        <v>53</v>
      </c>
      <c r="T89">
        <v>170.56448804204979</v>
      </c>
      <c r="U89">
        <v>4</v>
      </c>
      <c r="V89">
        <v>42.641122010512447</v>
      </c>
      <c r="AA89" t="s">
        <v>53</v>
      </c>
      <c r="AB89">
        <v>401.22962567672505</v>
      </c>
      <c r="AC89">
        <v>4</v>
      </c>
      <c r="AD89">
        <v>100.30740641918126</v>
      </c>
    </row>
    <row r="90" spans="2:33" x14ac:dyDescent="0.2">
      <c r="B90" t="s">
        <v>53</v>
      </c>
      <c r="C90">
        <v>325.85556796388391</v>
      </c>
      <c r="D90">
        <v>4</v>
      </c>
      <c r="E90">
        <v>81.463891990970978</v>
      </c>
    </row>
    <row r="91" spans="2:33" ht="16" thickBot="1" x14ac:dyDescent="0.25">
      <c r="K91" s="4" t="s">
        <v>55</v>
      </c>
      <c r="L91" s="4">
        <v>2577.6562453607112</v>
      </c>
      <c r="M91" s="4">
        <v>5</v>
      </c>
      <c r="N91" s="4"/>
      <c r="O91" s="4"/>
      <c r="P91" s="4"/>
      <c r="Q91" s="4"/>
      <c r="S91" s="4" t="s">
        <v>55</v>
      </c>
      <c r="T91" s="4">
        <v>930.91184225393658</v>
      </c>
      <c r="U91" s="4">
        <v>5</v>
      </c>
      <c r="V91" s="4"/>
      <c r="W91" s="4"/>
      <c r="X91" s="4"/>
      <c r="Y91" s="4"/>
      <c r="AA91" s="4" t="s">
        <v>55</v>
      </c>
      <c r="AB91" s="4">
        <v>477.08325091294091</v>
      </c>
      <c r="AC91" s="4">
        <v>5</v>
      </c>
      <c r="AD91" s="4"/>
      <c r="AE91" s="4"/>
      <c r="AF91" s="4"/>
      <c r="AG91" s="4"/>
    </row>
    <row r="92" spans="2:33" ht="16" thickBot="1" x14ac:dyDescent="0.25">
      <c r="B92" s="4" t="s">
        <v>55</v>
      </c>
      <c r="C92" s="4">
        <v>355.6031940888335</v>
      </c>
      <c r="D92" s="4">
        <v>5</v>
      </c>
      <c r="E92" s="4"/>
      <c r="F92" s="4"/>
      <c r="G92" s="4"/>
      <c r="H92" s="4"/>
    </row>
    <row r="100" spans="1:23" x14ac:dyDescent="0.2">
      <c r="A100" s="13"/>
      <c r="B100" s="13"/>
      <c r="C100" s="13"/>
      <c r="D100" s="13"/>
      <c r="E100" s="13"/>
      <c r="I100" s="13"/>
      <c r="J100" s="13"/>
      <c r="K100" s="13"/>
      <c r="L100" s="13"/>
      <c r="M100" s="13"/>
      <c r="Q100" s="13"/>
      <c r="R100" s="13"/>
      <c r="S100" s="13"/>
      <c r="T100" s="13"/>
      <c r="U100" s="13"/>
    </row>
    <row r="106" spans="1:23" x14ac:dyDescent="0.2">
      <c r="A106" s="13"/>
      <c r="B106" s="13"/>
      <c r="C106" s="13"/>
      <c r="D106" s="13"/>
      <c r="E106" s="13"/>
      <c r="F106" s="13"/>
      <c r="G106" s="13"/>
      <c r="I106" s="13"/>
      <c r="J106" s="13"/>
      <c r="K106" s="13"/>
      <c r="L106" s="13"/>
      <c r="M106" s="13"/>
      <c r="N106" s="13"/>
      <c r="O106" s="13"/>
      <c r="Q106" s="13"/>
      <c r="R106" s="13"/>
      <c r="S106" s="13"/>
      <c r="T106" s="13"/>
      <c r="U106" s="13"/>
      <c r="V106" s="13"/>
      <c r="W106" s="13"/>
    </row>
  </sheetData>
  <mergeCells count="34">
    <mergeCell ref="AD46:AE46"/>
    <mergeCell ref="V63:W63"/>
    <mergeCell ref="AD63:AE63"/>
    <mergeCell ref="V78:W78"/>
    <mergeCell ref="AD78:AE78"/>
    <mergeCell ref="Z40:AA40"/>
    <mergeCell ref="Z41:AA41"/>
    <mergeCell ref="V46:W46"/>
    <mergeCell ref="E46:F46"/>
    <mergeCell ref="E62:F62"/>
    <mergeCell ref="E79:F79"/>
    <mergeCell ref="N78:O78"/>
    <mergeCell ref="N46:O46"/>
    <mergeCell ref="N63:O63"/>
    <mergeCell ref="B10:E10"/>
    <mergeCell ref="G10:J10"/>
    <mergeCell ref="L10:O10"/>
    <mergeCell ref="Q10:T10"/>
    <mergeCell ref="V10:Y10"/>
    <mergeCell ref="B1:E1"/>
    <mergeCell ref="G1:J1"/>
    <mergeCell ref="L1:O1"/>
    <mergeCell ref="Q1:T1"/>
    <mergeCell ref="V1:Y1"/>
    <mergeCell ref="B28:E28"/>
    <mergeCell ref="G28:J28"/>
    <mergeCell ref="L28:O28"/>
    <mergeCell ref="Q28:T28"/>
    <mergeCell ref="V28:Y28"/>
    <mergeCell ref="B19:E19"/>
    <mergeCell ref="G19:J19"/>
    <mergeCell ref="L19:O19"/>
    <mergeCell ref="Q19:T19"/>
    <mergeCell ref="V19:Y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41104-C18D-3E4F-A3F6-AD3EBC5B81A0}">
  <sheetPr>
    <tabColor rgb="FF00B050"/>
  </sheetPr>
  <dimension ref="A1:N31"/>
  <sheetViews>
    <sheetView workbookViewId="0">
      <selection activeCell="K28" sqref="K28:L29"/>
    </sheetView>
  </sheetViews>
  <sheetFormatPr baseColWidth="10" defaultRowHeight="15" x14ac:dyDescent="0.2"/>
  <cols>
    <col min="5" max="5" width="8.83203125" customWidth="1"/>
    <col min="10" max="10" width="7" customWidth="1"/>
  </cols>
  <sheetData>
    <row r="1" spans="1:14" x14ac:dyDescent="0.2">
      <c r="A1" s="117" t="s">
        <v>67</v>
      </c>
      <c r="B1" s="117"/>
      <c r="C1" s="117"/>
      <c r="D1" s="117"/>
      <c r="F1" s="117" t="s">
        <v>139</v>
      </c>
      <c r="G1" s="117"/>
      <c r="H1" s="117"/>
      <c r="I1" s="117"/>
      <c r="K1" s="117" t="s">
        <v>140</v>
      </c>
      <c r="L1" s="117"/>
      <c r="M1" s="117"/>
      <c r="N1" s="117"/>
    </row>
    <row r="2" spans="1:14" x14ac:dyDescent="0.2">
      <c r="A2" s="14" t="s">
        <v>28</v>
      </c>
      <c r="B2" s="14" t="s">
        <v>170</v>
      </c>
      <c r="C2" s="14" t="s">
        <v>171</v>
      </c>
      <c r="D2" s="14" t="s">
        <v>122</v>
      </c>
      <c r="F2" s="14" t="s">
        <v>28</v>
      </c>
      <c r="G2" s="14" t="s">
        <v>170</v>
      </c>
      <c r="H2" s="14" t="s">
        <v>171</v>
      </c>
      <c r="I2" s="14" t="s">
        <v>122</v>
      </c>
      <c r="K2" s="14" t="s">
        <v>28</v>
      </c>
      <c r="L2" s="14" t="s">
        <v>170</v>
      </c>
      <c r="M2" s="14" t="s">
        <v>171</v>
      </c>
      <c r="N2" s="14" t="s">
        <v>122</v>
      </c>
    </row>
    <row r="3" spans="1:14" x14ac:dyDescent="0.2">
      <c r="B3">
        <v>397</v>
      </c>
      <c r="C3">
        <v>83</v>
      </c>
      <c r="D3">
        <v>480</v>
      </c>
      <c r="G3">
        <v>266</v>
      </c>
      <c r="H3">
        <v>60</v>
      </c>
      <c r="I3">
        <v>326</v>
      </c>
      <c r="L3">
        <v>155</v>
      </c>
      <c r="M3">
        <v>30</v>
      </c>
      <c r="N3">
        <f>L3+M3</f>
        <v>185</v>
      </c>
    </row>
    <row r="4" spans="1:14" x14ac:dyDescent="0.2">
      <c r="A4" t="s">
        <v>196</v>
      </c>
      <c r="B4">
        <f>(B3/D3)*100</f>
        <v>82.708333333333329</v>
      </c>
      <c r="C4">
        <f>(C3/D3)*100</f>
        <v>17.291666666666668</v>
      </c>
      <c r="F4" t="s">
        <v>196</v>
      </c>
      <c r="G4">
        <f>(G3/I3)*100</f>
        <v>81.595092024539866</v>
      </c>
      <c r="H4">
        <f>(H3/I3)*100</f>
        <v>18.404907975460123</v>
      </c>
      <c r="K4" t="s">
        <v>196</v>
      </c>
      <c r="L4">
        <f>(L3/N3)*100</f>
        <v>83.78378378378379</v>
      </c>
      <c r="M4">
        <f>(M3/N3)*100</f>
        <v>16.216216216216218</v>
      </c>
    </row>
    <row r="6" spans="1:14" x14ac:dyDescent="0.2">
      <c r="A6" s="14" t="s">
        <v>197</v>
      </c>
      <c r="B6" s="14" t="s">
        <v>170</v>
      </c>
      <c r="C6" s="14" t="s">
        <v>171</v>
      </c>
      <c r="D6" s="14" t="s">
        <v>122</v>
      </c>
      <c r="F6" s="14" t="s">
        <v>197</v>
      </c>
      <c r="G6" s="14" t="s">
        <v>170</v>
      </c>
      <c r="H6" s="14" t="s">
        <v>171</v>
      </c>
      <c r="I6" s="14" t="s">
        <v>122</v>
      </c>
      <c r="K6" s="14" t="s">
        <v>197</v>
      </c>
      <c r="L6" s="14" t="s">
        <v>170</v>
      </c>
      <c r="M6" s="14" t="s">
        <v>171</v>
      </c>
      <c r="N6" s="14" t="s">
        <v>122</v>
      </c>
    </row>
    <row r="7" spans="1:14" x14ac:dyDescent="0.2">
      <c r="B7">
        <v>513</v>
      </c>
      <c r="C7">
        <v>38</v>
      </c>
      <c r="D7">
        <v>551</v>
      </c>
      <c r="G7">
        <v>291</v>
      </c>
      <c r="H7">
        <v>22</v>
      </c>
      <c r="I7">
        <v>313</v>
      </c>
      <c r="L7">
        <v>112</v>
      </c>
      <c r="M7">
        <v>3</v>
      </c>
      <c r="N7">
        <f>L7+M7</f>
        <v>115</v>
      </c>
    </row>
    <row r="8" spans="1:14" x14ac:dyDescent="0.2">
      <c r="A8" t="s">
        <v>196</v>
      </c>
      <c r="B8">
        <f>(B7/D7)*100</f>
        <v>93.103448275862064</v>
      </c>
      <c r="C8">
        <f>(C7/D7)*100</f>
        <v>6.8965517241379306</v>
      </c>
      <c r="F8" t="s">
        <v>196</v>
      </c>
      <c r="G8">
        <f>(G7/I7)*100</f>
        <v>92.971246006389777</v>
      </c>
      <c r="H8">
        <f>(H7/I7)*100</f>
        <v>7.0287539936102235</v>
      </c>
      <c r="K8" t="s">
        <v>196</v>
      </c>
      <c r="L8">
        <f>(L7/N7)*100</f>
        <v>97.391304347826093</v>
      </c>
      <c r="M8">
        <f>(M7/N7)*100</f>
        <v>2.6086956521739131</v>
      </c>
    </row>
    <row r="10" spans="1:14" x14ac:dyDescent="0.2">
      <c r="A10" s="118" t="s">
        <v>100</v>
      </c>
      <c r="B10" s="118"/>
      <c r="C10" s="118"/>
      <c r="D10" s="118"/>
      <c r="E10" s="118"/>
      <c r="F10" s="118"/>
      <c r="G10" s="118"/>
      <c r="H10" s="118"/>
      <c r="I10" s="118"/>
    </row>
    <row r="12" spans="1:14" x14ac:dyDescent="0.2">
      <c r="A12" s="14" t="s">
        <v>28</v>
      </c>
      <c r="B12" s="14" t="s">
        <v>170</v>
      </c>
      <c r="C12" s="14" t="s">
        <v>171</v>
      </c>
      <c r="D12" s="14" t="s">
        <v>122</v>
      </c>
      <c r="F12" s="14" t="s">
        <v>197</v>
      </c>
      <c r="G12" s="14" t="s">
        <v>170</v>
      </c>
      <c r="H12" s="14" t="s">
        <v>171</v>
      </c>
      <c r="I12" s="14" t="s">
        <v>122</v>
      </c>
    </row>
    <row r="13" spans="1:14" x14ac:dyDescent="0.2">
      <c r="B13">
        <f>SUM(B3,G3,L3)</f>
        <v>818</v>
      </c>
      <c r="C13">
        <f>SUM(C3,H3,M3)</f>
        <v>173</v>
      </c>
      <c r="D13">
        <f>D3+I3+N3</f>
        <v>991</v>
      </c>
      <c r="G13">
        <f>SUM(B7,G7,L7)</f>
        <v>916</v>
      </c>
      <c r="H13">
        <f>SUM(C7,H7,M7)</f>
        <v>63</v>
      </c>
      <c r="I13">
        <f>D7+I7+N7</f>
        <v>979</v>
      </c>
    </row>
    <row r="14" spans="1:14" x14ac:dyDescent="0.2">
      <c r="A14" t="s">
        <v>196</v>
      </c>
      <c r="B14">
        <f>(B13/D13)*100</f>
        <v>82.542885973763873</v>
      </c>
      <c r="C14">
        <f>(C13/D13)*100</f>
        <v>17.457114026236127</v>
      </c>
      <c r="F14" t="s">
        <v>196</v>
      </c>
      <c r="G14">
        <f>(G13/I13)*100</f>
        <v>93.564862104187952</v>
      </c>
      <c r="H14">
        <f>(H13/I13)*100</f>
        <v>6.4351378958120531</v>
      </c>
    </row>
    <row r="15" spans="1:14" x14ac:dyDescent="0.2">
      <c r="B15">
        <f>STDEVA(B14,B4,G4,L4)</f>
        <v>0.89683634115739075</v>
      </c>
      <c r="C15">
        <f>STDEVA(C14,C4,H4,M4)</f>
        <v>0.89683634115738353</v>
      </c>
      <c r="D15" s="14" t="s">
        <v>63</v>
      </c>
      <c r="G15">
        <f>STDEVA(G14,B8,G8,L8)</f>
        <v>2.1045000576555619</v>
      </c>
      <c r="H15">
        <f>STDEVA(H14,C8,H8,M8)</f>
        <v>2.104500057655557</v>
      </c>
      <c r="I15" s="14" t="s">
        <v>63</v>
      </c>
    </row>
    <row r="16" spans="1:14" x14ac:dyDescent="0.2">
      <c r="B16">
        <f>B15/SQRT(3)</f>
        <v>0.51778870298625868</v>
      </c>
      <c r="C16">
        <f>C15/SQRT(3)</f>
        <v>0.51778870298625446</v>
      </c>
      <c r="D16" s="14" t="s">
        <v>59</v>
      </c>
      <c r="G16">
        <f>G15/SQRT(3)</f>
        <v>1.2150336747970216</v>
      </c>
      <c r="H16">
        <f>H15/SQRT(3)</f>
        <v>1.215033674797019</v>
      </c>
      <c r="I16" s="14" t="s">
        <v>59</v>
      </c>
    </row>
    <row r="17" spans="1:12" x14ac:dyDescent="0.2">
      <c r="D17" s="14"/>
    </row>
    <row r="18" spans="1:12" x14ac:dyDescent="0.2">
      <c r="A18" t="s">
        <v>31</v>
      </c>
      <c r="D18" s="119" t="s">
        <v>198</v>
      </c>
      <c r="E18" s="119"/>
    </row>
    <row r="20" spans="1:12" ht="16" thickBot="1" x14ac:dyDescent="0.25">
      <c r="A20" t="s">
        <v>34</v>
      </c>
      <c r="G20" s="16" t="s">
        <v>71</v>
      </c>
      <c r="H20">
        <f>F28</f>
        <v>1.7358427067196266E-3</v>
      </c>
    </row>
    <row r="21" spans="1:12" x14ac:dyDescent="0.2">
      <c r="A21" s="3" t="s">
        <v>35</v>
      </c>
      <c r="B21" s="3" t="s">
        <v>36</v>
      </c>
      <c r="C21" s="3" t="s">
        <v>37</v>
      </c>
      <c r="D21" s="3" t="s">
        <v>38</v>
      </c>
      <c r="E21" s="3" t="s">
        <v>39</v>
      </c>
    </row>
    <row r="22" spans="1:12" x14ac:dyDescent="0.2">
      <c r="A22" t="s">
        <v>41</v>
      </c>
      <c r="B22">
        <v>3</v>
      </c>
      <c r="C22">
        <v>248.087209</v>
      </c>
      <c r="D22">
        <v>82.695736333333329</v>
      </c>
      <c r="E22">
        <v>1.1977121747243369</v>
      </c>
    </row>
    <row r="23" spans="1:12" ht="16" thickBot="1" x14ac:dyDescent="0.25">
      <c r="A23" s="4" t="s">
        <v>42</v>
      </c>
      <c r="B23" s="4">
        <v>3</v>
      </c>
      <c r="C23" s="4">
        <v>283.46599800000001</v>
      </c>
      <c r="D23" s="4">
        <v>94.488666000000009</v>
      </c>
      <c r="E23" s="4">
        <v>6.323349861484024</v>
      </c>
    </row>
    <row r="26" spans="1:12" ht="16" thickBot="1" x14ac:dyDescent="0.25">
      <c r="A26" t="s">
        <v>44</v>
      </c>
    </row>
    <row r="27" spans="1:12" x14ac:dyDescent="0.2">
      <c r="A27" s="3" t="s">
        <v>45</v>
      </c>
      <c r="B27" s="3" t="s">
        <v>46</v>
      </c>
      <c r="C27" s="3" t="s">
        <v>47</v>
      </c>
      <c r="D27" s="3" t="s">
        <v>48</v>
      </c>
      <c r="E27" s="3" t="s">
        <v>49</v>
      </c>
      <c r="F27" s="3" t="s">
        <v>50</v>
      </c>
      <c r="G27" s="3" t="s">
        <v>51</v>
      </c>
    </row>
    <row r="28" spans="1:12" x14ac:dyDescent="0.2">
      <c r="A28" t="s">
        <v>52</v>
      </c>
      <c r="B28">
        <v>208.6097851844203</v>
      </c>
      <c r="C28">
        <v>1</v>
      </c>
      <c r="D28">
        <v>208.6097851844203</v>
      </c>
      <c r="E28">
        <v>55.473491424513767</v>
      </c>
      <c r="F28">
        <v>1.7358427067196266E-3</v>
      </c>
      <c r="G28">
        <v>7.708647422176786</v>
      </c>
      <c r="K28" s="114" t="s">
        <v>425</v>
      </c>
      <c r="L28" s="114"/>
    </row>
    <row r="29" spans="1:12" x14ac:dyDescent="0.2">
      <c r="A29" t="s">
        <v>53</v>
      </c>
      <c r="B29">
        <v>15.042124072416723</v>
      </c>
      <c r="C29">
        <v>4</v>
      </c>
      <c r="D29">
        <v>3.7605310181041807</v>
      </c>
      <c r="K29" s="11" t="s">
        <v>54</v>
      </c>
      <c r="L29" s="12"/>
    </row>
    <row r="31" spans="1:12" ht="16" thickBot="1" x14ac:dyDescent="0.25">
      <c r="A31" s="4" t="s">
        <v>55</v>
      </c>
      <c r="B31" s="4">
        <v>223.65190925683703</v>
      </c>
      <c r="C31" s="4">
        <v>5</v>
      </c>
      <c r="D31" s="4"/>
      <c r="E31" s="4"/>
      <c r="F31" s="4"/>
      <c r="G31" s="4"/>
    </row>
  </sheetData>
  <mergeCells count="6">
    <mergeCell ref="K28:L28"/>
    <mergeCell ref="A1:D1"/>
    <mergeCell ref="F1:I1"/>
    <mergeCell ref="K1:N1"/>
    <mergeCell ref="A10:I10"/>
    <mergeCell ref="D18:E1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267F2-0D66-CE4F-B79F-97FF8A119890}">
  <sheetPr>
    <tabColor rgb="FF00B050"/>
  </sheetPr>
  <dimension ref="A1:AU126"/>
  <sheetViews>
    <sheetView topLeftCell="A46" zoomScale="80" zoomScaleNormal="80" workbookViewId="0">
      <selection activeCell="R92" sqref="R92:S93"/>
    </sheetView>
  </sheetViews>
  <sheetFormatPr baseColWidth="10" defaultRowHeight="15" x14ac:dyDescent="0.2"/>
  <cols>
    <col min="1" max="1" width="9" customWidth="1"/>
    <col min="5" max="5" width="8.1640625" customWidth="1"/>
    <col min="9" max="9" width="7" customWidth="1"/>
    <col min="13" max="13" width="7.1640625" customWidth="1"/>
    <col min="17" max="17" width="5" customWidth="1"/>
    <col min="21" max="21" width="7.33203125" customWidth="1"/>
    <col min="22" max="22" width="7.5" customWidth="1"/>
    <col min="23" max="23" width="8.83203125" customWidth="1"/>
    <col min="24" max="24" width="5.6640625" customWidth="1"/>
  </cols>
  <sheetData>
    <row r="1" spans="1:47" ht="16" thickBot="1" x14ac:dyDescent="0.25">
      <c r="Y1" t="s">
        <v>31</v>
      </c>
      <c r="AB1" s="110" t="s">
        <v>385</v>
      </c>
      <c r="AC1" s="110"/>
      <c r="AG1" t="s">
        <v>31</v>
      </c>
      <c r="AJ1" s="110" t="s">
        <v>386</v>
      </c>
      <c r="AK1" s="110"/>
      <c r="AO1" t="s">
        <v>31</v>
      </c>
      <c r="AR1" s="110" t="s">
        <v>394</v>
      </c>
      <c r="AS1" s="110"/>
    </row>
    <row r="2" spans="1:47" ht="16" thickBot="1" x14ac:dyDescent="0.25">
      <c r="A2" s="111" t="s">
        <v>232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  <c r="W2" s="80" t="s">
        <v>226</v>
      </c>
    </row>
    <row r="3" spans="1:47" ht="16" thickBot="1" x14ac:dyDescent="0.25">
      <c r="V3" s="82"/>
      <c r="W3" s="82"/>
      <c r="Y3" t="s">
        <v>34</v>
      </c>
      <c r="AG3" t="s">
        <v>34</v>
      </c>
      <c r="AO3" t="s">
        <v>34</v>
      </c>
    </row>
    <row r="4" spans="1:47" x14ac:dyDescent="0.2">
      <c r="B4" s="109" t="s">
        <v>173</v>
      </c>
      <c r="C4" s="109"/>
      <c r="D4" s="109"/>
      <c r="F4" s="109" t="s">
        <v>68</v>
      </c>
      <c r="G4" s="109"/>
      <c r="H4" s="109"/>
      <c r="J4" s="109" t="s">
        <v>69</v>
      </c>
      <c r="K4" s="109"/>
      <c r="L4" s="109"/>
      <c r="N4" s="109" t="s">
        <v>172</v>
      </c>
      <c r="O4" s="109"/>
      <c r="P4" s="109"/>
      <c r="R4" s="109" t="s">
        <v>230</v>
      </c>
      <c r="S4" s="109"/>
      <c r="T4" s="109"/>
      <c r="V4" s="82"/>
      <c r="W4" s="82"/>
      <c r="Y4" s="3" t="s">
        <v>35</v>
      </c>
      <c r="Z4" s="3" t="s">
        <v>36</v>
      </c>
      <c r="AA4" s="3" t="s">
        <v>37</v>
      </c>
      <c r="AB4" s="3" t="s">
        <v>38</v>
      </c>
      <c r="AC4" s="3" t="s">
        <v>39</v>
      </c>
      <c r="AG4" s="3" t="s">
        <v>35</v>
      </c>
      <c r="AH4" s="3" t="s">
        <v>36</v>
      </c>
      <c r="AI4" s="3" t="s">
        <v>37</v>
      </c>
      <c r="AJ4" s="3" t="s">
        <v>38</v>
      </c>
      <c r="AK4" s="3" t="s">
        <v>39</v>
      </c>
      <c r="AO4" s="3" t="s">
        <v>35</v>
      </c>
      <c r="AP4" s="3" t="s">
        <v>36</v>
      </c>
      <c r="AQ4" s="3" t="s">
        <v>37</v>
      </c>
      <c r="AR4" s="3" t="s">
        <v>38</v>
      </c>
      <c r="AS4" s="3" t="s">
        <v>39</v>
      </c>
    </row>
    <row r="5" spans="1:47" x14ac:dyDescent="0.2">
      <c r="A5" s="12" t="s">
        <v>28</v>
      </c>
      <c r="B5" t="s">
        <v>66</v>
      </c>
      <c r="C5" t="s">
        <v>28</v>
      </c>
      <c r="D5" t="s">
        <v>30</v>
      </c>
      <c r="F5" t="s">
        <v>66</v>
      </c>
      <c r="G5" t="s">
        <v>28</v>
      </c>
      <c r="H5" t="s">
        <v>30</v>
      </c>
      <c r="J5" t="s">
        <v>66</v>
      </c>
      <c r="K5" t="s">
        <v>28</v>
      </c>
      <c r="L5" t="s">
        <v>30</v>
      </c>
      <c r="N5" t="s">
        <v>66</v>
      </c>
      <c r="O5" t="s">
        <v>28</v>
      </c>
      <c r="P5" t="s">
        <v>30</v>
      </c>
      <c r="R5" t="s">
        <v>66</v>
      </c>
      <c r="S5" t="s">
        <v>28</v>
      </c>
      <c r="T5" t="s">
        <v>30</v>
      </c>
      <c r="Y5" t="s">
        <v>41</v>
      </c>
      <c r="Z5">
        <v>3</v>
      </c>
      <c r="AA5">
        <v>33.414187643020597</v>
      </c>
      <c r="AB5">
        <v>11.138062547673533</v>
      </c>
      <c r="AC5">
        <v>2.043453824093632</v>
      </c>
      <c r="AG5" t="s">
        <v>41</v>
      </c>
      <c r="AH5">
        <v>3</v>
      </c>
      <c r="AI5">
        <v>32.889952153110045</v>
      </c>
      <c r="AJ5">
        <v>10.963317384370015</v>
      </c>
      <c r="AK5">
        <v>0.17628564669612296</v>
      </c>
      <c r="AO5" t="s">
        <v>41</v>
      </c>
      <c r="AP5">
        <v>3</v>
      </c>
      <c r="AQ5">
        <v>23.728036669213139</v>
      </c>
      <c r="AR5">
        <v>7.9093455564043795</v>
      </c>
      <c r="AS5">
        <v>0.45289870931357523</v>
      </c>
    </row>
    <row r="6" spans="1:47" ht="16" thickBot="1" x14ac:dyDescent="0.25">
      <c r="A6" s="80" t="s">
        <v>214</v>
      </c>
      <c r="B6">
        <v>11</v>
      </c>
      <c r="C6">
        <v>11</v>
      </c>
      <c r="D6">
        <v>10</v>
      </c>
      <c r="F6">
        <v>12</v>
      </c>
      <c r="G6">
        <v>10</v>
      </c>
      <c r="H6">
        <v>6</v>
      </c>
      <c r="J6">
        <v>9</v>
      </c>
      <c r="K6">
        <v>10</v>
      </c>
      <c r="L6">
        <v>9</v>
      </c>
      <c r="N6">
        <f>AVERAGE(J6,B6,F6)</f>
        <v>10.666666666666666</v>
      </c>
      <c r="O6">
        <f t="shared" ref="O6:P8" si="0">AVERAGE(G6,C6,K6)</f>
        <v>10.333333333333334</v>
      </c>
      <c r="P6">
        <f t="shared" si="0"/>
        <v>8.3333333333333339</v>
      </c>
      <c r="R6">
        <f>STDEVA(J8,B8,F8)</f>
        <v>1.4294942546556919</v>
      </c>
      <c r="S6">
        <f>STDEVA(G8,C8,K8)</f>
        <v>0.41986384304453145</v>
      </c>
      <c r="T6">
        <f>STDEVA(H8,D8,L8)</f>
        <v>0.67297749539904772</v>
      </c>
      <c r="U6" s="82" t="s">
        <v>63</v>
      </c>
      <c r="Y6" s="4" t="s">
        <v>42</v>
      </c>
      <c r="Z6" s="4">
        <v>3</v>
      </c>
      <c r="AA6" s="4">
        <v>17.403798100949526</v>
      </c>
      <c r="AB6" s="4">
        <v>5.8012660336498421</v>
      </c>
      <c r="AC6" s="4">
        <v>0.93255679340072817</v>
      </c>
      <c r="AG6" s="4" t="s">
        <v>42</v>
      </c>
      <c r="AH6" s="4">
        <v>3</v>
      </c>
      <c r="AI6" s="4">
        <v>23.200461734944497</v>
      </c>
      <c r="AJ6" s="4">
        <v>7.7334872449814993</v>
      </c>
      <c r="AK6" s="4">
        <v>2.4507332799605024</v>
      </c>
      <c r="AO6" s="4" t="s">
        <v>42</v>
      </c>
      <c r="AP6" s="4">
        <v>3</v>
      </c>
      <c r="AQ6" s="4">
        <v>23.948482768349784</v>
      </c>
      <c r="AR6" s="4">
        <v>7.9828275894499283</v>
      </c>
      <c r="AS6" s="4">
        <v>1.5492514334813592</v>
      </c>
    </row>
    <row r="7" spans="1:47" x14ac:dyDescent="0.2">
      <c r="A7" s="14" t="s">
        <v>122</v>
      </c>
      <c r="B7">
        <v>100</v>
      </c>
      <c r="C7">
        <v>100</v>
      </c>
      <c r="D7">
        <v>119</v>
      </c>
      <c r="F7">
        <v>95</v>
      </c>
      <c r="G7">
        <v>95</v>
      </c>
      <c r="H7">
        <v>84</v>
      </c>
      <c r="J7">
        <v>92</v>
      </c>
      <c r="K7">
        <v>88</v>
      </c>
      <c r="L7">
        <v>110</v>
      </c>
      <c r="N7">
        <f>AVERAGE(J7,B7,F7)</f>
        <v>95.666666666666671</v>
      </c>
      <c r="O7">
        <f t="shared" si="0"/>
        <v>94.333333333333329</v>
      </c>
      <c r="P7">
        <f t="shared" si="0"/>
        <v>104.33333333333333</v>
      </c>
      <c r="R7">
        <f>(R6/SQRT(3))</f>
        <v>0.8253188927304872</v>
      </c>
      <c r="S7">
        <f t="shared" ref="S7:T7" si="1">(S6/SQRT(3))</f>
        <v>0.24240850280475101</v>
      </c>
      <c r="T7">
        <f t="shared" si="1"/>
        <v>0.38854373812720033</v>
      </c>
      <c r="U7" s="82" t="s">
        <v>59</v>
      </c>
    </row>
    <row r="8" spans="1:47" x14ac:dyDescent="0.2">
      <c r="A8" t="s">
        <v>227</v>
      </c>
      <c r="B8">
        <f>(B6/B7)*100</f>
        <v>11</v>
      </c>
      <c r="C8">
        <f t="shared" ref="C8:D8" si="2">(C6/C7)*100</f>
        <v>11</v>
      </c>
      <c r="D8">
        <f t="shared" si="2"/>
        <v>8.4033613445378155</v>
      </c>
      <c r="F8">
        <f>(F6/F7)*100</f>
        <v>12.631578947368421</v>
      </c>
      <c r="G8">
        <f>(G6/G7)*100</f>
        <v>10.526315789473683</v>
      </c>
      <c r="H8">
        <f>(H6/H7)*100</f>
        <v>7.1428571428571423</v>
      </c>
      <c r="J8">
        <f>(J6/J7)*100</f>
        <v>9.7826086956521738</v>
      </c>
      <c r="K8">
        <f t="shared" ref="K8:L8" si="3">(K6/K7)*100</f>
        <v>11.363636363636363</v>
      </c>
      <c r="L8">
        <f t="shared" si="3"/>
        <v>8.1818181818181817</v>
      </c>
      <c r="N8">
        <f>AVERAGE(J8,B8,F8)</f>
        <v>11.138062547673533</v>
      </c>
      <c r="O8">
        <f t="shared" si="0"/>
        <v>10.963317384370015</v>
      </c>
      <c r="P8">
        <f t="shared" si="0"/>
        <v>7.9093455564043795</v>
      </c>
    </row>
    <row r="9" spans="1:47" ht="16" thickBot="1" x14ac:dyDescent="0.25">
      <c r="A9" s="14"/>
      <c r="V9" s="82"/>
      <c r="W9" s="82"/>
      <c r="Y9" t="s">
        <v>44</v>
      </c>
      <c r="AG9" t="s">
        <v>44</v>
      </c>
      <c r="AO9" t="s">
        <v>44</v>
      </c>
    </row>
    <row r="10" spans="1:47" x14ac:dyDescent="0.2">
      <c r="A10" s="12" t="s">
        <v>28</v>
      </c>
      <c r="B10" t="s">
        <v>66</v>
      </c>
      <c r="C10" t="s">
        <v>28</v>
      </c>
      <c r="D10" t="s">
        <v>30</v>
      </c>
      <c r="F10" t="s">
        <v>66</v>
      </c>
      <c r="G10" t="s">
        <v>28</v>
      </c>
      <c r="H10" t="s">
        <v>30</v>
      </c>
      <c r="J10" t="s">
        <v>66</v>
      </c>
      <c r="K10" t="s">
        <v>28</v>
      </c>
      <c r="L10" t="s">
        <v>30</v>
      </c>
      <c r="N10" t="s">
        <v>66</v>
      </c>
      <c r="O10" t="s">
        <v>28</v>
      </c>
      <c r="P10" t="s">
        <v>30</v>
      </c>
      <c r="V10" s="82"/>
      <c r="W10" s="82"/>
      <c r="Y10" s="3" t="s">
        <v>45</v>
      </c>
      <c r="Z10" s="3" t="s">
        <v>46</v>
      </c>
      <c r="AA10" s="3" t="s">
        <v>47</v>
      </c>
      <c r="AB10" s="3" t="s">
        <v>48</v>
      </c>
      <c r="AC10" s="3" t="s">
        <v>49</v>
      </c>
      <c r="AD10" s="3" t="s">
        <v>50</v>
      </c>
      <c r="AE10" s="3" t="s">
        <v>51</v>
      </c>
      <c r="AG10" s="3" t="s">
        <v>45</v>
      </c>
      <c r="AH10" s="3" t="s">
        <v>46</v>
      </c>
      <c r="AI10" s="3" t="s">
        <v>47</v>
      </c>
      <c r="AJ10" s="3" t="s">
        <v>48</v>
      </c>
      <c r="AK10" s="3" t="s">
        <v>49</v>
      </c>
      <c r="AL10" s="3" t="s">
        <v>50</v>
      </c>
      <c r="AM10" s="3" t="s">
        <v>51</v>
      </c>
      <c r="AO10" s="3" t="s">
        <v>45</v>
      </c>
      <c r="AP10" s="3" t="s">
        <v>46</v>
      </c>
      <c r="AQ10" s="3" t="s">
        <v>47</v>
      </c>
      <c r="AR10" s="3" t="s">
        <v>48</v>
      </c>
      <c r="AS10" s="3" t="s">
        <v>49</v>
      </c>
      <c r="AT10" s="3" t="s">
        <v>50</v>
      </c>
      <c r="AU10" s="3" t="s">
        <v>51</v>
      </c>
    </row>
    <row r="11" spans="1:47" x14ac:dyDescent="0.2">
      <c r="A11" s="80" t="s">
        <v>215</v>
      </c>
      <c r="B11">
        <v>10</v>
      </c>
      <c r="C11">
        <v>10</v>
      </c>
      <c r="D11">
        <v>12</v>
      </c>
      <c r="F11">
        <v>12</v>
      </c>
      <c r="G11">
        <v>9</v>
      </c>
      <c r="H11">
        <v>8</v>
      </c>
      <c r="J11">
        <v>9</v>
      </c>
      <c r="K11">
        <v>11</v>
      </c>
      <c r="L11">
        <v>13</v>
      </c>
      <c r="N11">
        <f>AVERAGE(J11,B11,F11)</f>
        <v>10.333333333333334</v>
      </c>
      <c r="O11">
        <f t="shared" ref="O11:P13" si="4">AVERAGE(G11,C11,K11)</f>
        <v>10</v>
      </c>
      <c r="P11">
        <f t="shared" si="4"/>
        <v>11</v>
      </c>
      <c r="R11" t="s">
        <v>66</v>
      </c>
      <c r="S11" t="s">
        <v>28</v>
      </c>
      <c r="T11" t="s">
        <v>30</v>
      </c>
      <c r="Y11" t="s">
        <v>52</v>
      </c>
      <c r="Z11">
        <v>42.722095548143116</v>
      </c>
      <c r="AA11">
        <v>1</v>
      </c>
      <c r="AB11">
        <v>42.722095548143116</v>
      </c>
      <c r="AC11">
        <v>28.710983285478321</v>
      </c>
      <c r="AD11">
        <v>5.8531267333839735E-3</v>
      </c>
      <c r="AE11">
        <v>7.708647422176786</v>
      </c>
      <c r="AG11" t="s">
        <v>52</v>
      </c>
      <c r="AH11">
        <v>15.647704093953674</v>
      </c>
      <c r="AI11">
        <v>1</v>
      </c>
      <c r="AJ11">
        <v>15.647704093953674</v>
      </c>
      <c r="AK11">
        <v>11.912897874602104</v>
      </c>
      <c r="AL11">
        <v>2.6018639019549226E-2</v>
      </c>
      <c r="AM11">
        <v>7.708647422176786</v>
      </c>
      <c r="AO11" t="s">
        <v>52</v>
      </c>
      <c r="AP11">
        <v>8.0994137707595115E-3</v>
      </c>
      <c r="AQ11">
        <v>1</v>
      </c>
      <c r="AR11">
        <v>8.0994137707595115E-3</v>
      </c>
      <c r="AS11">
        <v>8.0907156737536762E-3</v>
      </c>
      <c r="AT11">
        <v>0.93265216527163886</v>
      </c>
      <c r="AU11">
        <v>7.708647422176786</v>
      </c>
    </row>
    <row r="12" spans="1:47" x14ac:dyDescent="0.2">
      <c r="A12" s="14" t="s">
        <v>122</v>
      </c>
      <c r="B12">
        <v>100</v>
      </c>
      <c r="C12">
        <v>100</v>
      </c>
      <c r="D12">
        <v>119</v>
      </c>
      <c r="F12">
        <v>95</v>
      </c>
      <c r="G12">
        <v>95</v>
      </c>
      <c r="H12">
        <v>84</v>
      </c>
      <c r="J12">
        <v>92</v>
      </c>
      <c r="K12">
        <v>88</v>
      </c>
      <c r="L12">
        <v>110</v>
      </c>
      <c r="N12">
        <f>AVERAGE(J12,B12,F12)</f>
        <v>95.666666666666671</v>
      </c>
      <c r="O12">
        <f t="shared" si="4"/>
        <v>94.333333333333329</v>
      </c>
      <c r="P12">
        <f t="shared" si="4"/>
        <v>104.33333333333333</v>
      </c>
      <c r="R12">
        <f>STDEVA(J13,B13,F13)</f>
        <v>1.5858277665309333</v>
      </c>
      <c r="S12">
        <f>STDEVA(G13,C13,K13)</f>
        <v>1.61686917466376</v>
      </c>
      <c r="T12">
        <f>STDEVA(H13,D13,L13)</f>
        <v>1.1961929367638349</v>
      </c>
      <c r="U12" s="82" t="s">
        <v>63</v>
      </c>
      <c r="Y12" t="s">
        <v>53</v>
      </c>
      <c r="Z12">
        <v>5.9520212349886954</v>
      </c>
      <c r="AA12">
        <v>4</v>
      </c>
      <c r="AB12">
        <v>1.4880053087471738</v>
      </c>
      <c r="AG12" t="s">
        <v>53</v>
      </c>
      <c r="AH12">
        <v>5.2540378533132737</v>
      </c>
      <c r="AI12">
        <v>4</v>
      </c>
      <c r="AJ12">
        <v>1.3135094633283184</v>
      </c>
      <c r="AO12" t="s">
        <v>53</v>
      </c>
      <c r="AP12">
        <v>4.0043002855898404</v>
      </c>
      <c r="AQ12">
        <v>4</v>
      </c>
      <c r="AR12">
        <v>1.0010750713974601</v>
      </c>
    </row>
    <row r="13" spans="1:47" x14ac:dyDescent="0.2">
      <c r="A13" t="s">
        <v>228</v>
      </c>
      <c r="B13">
        <f>(B11/B12)*100</f>
        <v>10</v>
      </c>
      <c r="C13">
        <f t="shared" ref="C13:D13" si="5">(C11/C12)*100</f>
        <v>10</v>
      </c>
      <c r="D13">
        <f t="shared" si="5"/>
        <v>10.084033613445378</v>
      </c>
      <c r="F13">
        <f>(F11/F12)*100</f>
        <v>12.631578947368421</v>
      </c>
      <c r="G13">
        <f>(G11/G12)*100</f>
        <v>9.4736842105263168</v>
      </c>
      <c r="H13">
        <f>(H11/H12)*100</f>
        <v>9.5238095238095237</v>
      </c>
      <c r="J13">
        <f>(J11/J12)*100</f>
        <v>9.7826086956521738</v>
      </c>
      <c r="K13">
        <f t="shared" ref="K13:L13" si="6">(K11/K12)*100</f>
        <v>12.5</v>
      </c>
      <c r="L13">
        <f t="shared" si="6"/>
        <v>11.818181818181818</v>
      </c>
      <c r="N13">
        <f>AVERAGE(J13,B13,F13)</f>
        <v>10.804729214340199</v>
      </c>
      <c r="O13">
        <f t="shared" si="4"/>
        <v>10.657894736842104</v>
      </c>
      <c r="P13">
        <f t="shared" si="4"/>
        <v>10.475341651812242</v>
      </c>
      <c r="R13">
        <f>(R12/SQRT(3))</f>
        <v>0.91557808789501738</v>
      </c>
      <c r="S13">
        <f t="shared" ref="S13:T13" si="7">(S12/SQRT(3))</f>
        <v>0.93349985323652995</v>
      </c>
      <c r="T13">
        <f t="shared" si="7"/>
        <v>0.69062231404332908</v>
      </c>
      <c r="U13" s="82" t="s">
        <v>59</v>
      </c>
    </row>
    <row r="14" spans="1:47" ht="16" thickBot="1" x14ac:dyDescent="0.25">
      <c r="V14" s="82"/>
      <c r="W14" s="82"/>
      <c r="Y14" s="4" t="s">
        <v>55</v>
      </c>
      <c r="Z14" s="4">
        <v>48.674116783131808</v>
      </c>
      <c r="AA14" s="4">
        <v>5</v>
      </c>
      <c r="AB14" s="4"/>
      <c r="AC14" s="4"/>
      <c r="AD14" s="4"/>
      <c r="AE14" s="4"/>
      <c r="AG14" s="4" t="s">
        <v>55</v>
      </c>
      <c r="AH14" s="4">
        <v>20.901741947266949</v>
      </c>
      <c r="AI14" s="4">
        <v>5</v>
      </c>
      <c r="AJ14" s="4"/>
      <c r="AK14" s="4"/>
      <c r="AL14" s="4"/>
      <c r="AM14" s="4"/>
      <c r="AO14" s="4" t="s">
        <v>55</v>
      </c>
      <c r="AP14" s="4">
        <v>4.0123996993605999</v>
      </c>
      <c r="AQ14" s="4">
        <v>5</v>
      </c>
      <c r="AR14" s="4"/>
      <c r="AS14" s="4"/>
      <c r="AT14" s="4"/>
      <c r="AU14" s="4"/>
    </row>
    <row r="15" spans="1:47" x14ac:dyDescent="0.2">
      <c r="A15" s="14"/>
      <c r="B15" s="109" t="s">
        <v>173</v>
      </c>
      <c r="C15" s="109"/>
      <c r="D15" s="109"/>
      <c r="F15" s="109" t="s">
        <v>68</v>
      </c>
      <c r="G15" s="109"/>
      <c r="H15" s="109"/>
      <c r="J15" s="109" t="s">
        <v>69</v>
      </c>
      <c r="K15" s="109"/>
      <c r="L15" s="109"/>
      <c r="N15" s="109" t="s">
        <v>172</v>
      </c>
      <c r="O15" s="109"/>
      <c r="P15" s="109"/>
      <c r="R15" s="109" t="s">
        <v>231</v>
      </c>
      <c r="S15" s="109"/>
      <c r="T15" s="109"/>
      <c r="V15" s="82"/>
      <c r="W15" s="82"/>
    </row>
    <row r="16" spans="1:47" x14ac:dyDescent="0.2">
      <c r="A16" s="12" t="s">
        <v>229</v>
      </c>
      <c r="B16" t="s">
        <v>66</v>
      </c>
      <c r="C16" t="s">
        <v>28</v>
      </c>
      <c r="D16" t="s">
        <v>30</v>
      </c>
      <c r="F16" t="s">
        <v>66</v>
      </c>
      <c r="G16" t="s">
        <v>28</v>
      </c>
      <c r="H16" t="s">
        <v>30</v>
      </c>
      <c r="J16" t="s">
        <v>66</v>
      </c>
      <c r="K16" t="s">
        <v>28</v>
      </c>
      <c r="L16" t="s">
        <v>30</v>
      </c>
      <c r="N16" t="s">
        <v>66</v>
      </c>
      <c r="O16" t="s">
        <v>28</v>
      </c>
      <c r="P16" t="s">
        <v>30</v>
      </c>
      <c r="R16" t="s">
        <v>66</v>
      </c>
      <c r="S16" t="s">
        <v>28</v>
      </c>
      <c r="T16" t="s">
        <v>30</v>
      </c>
      <c r="W16" s="80" t="s">
        <v>225</v>
      </c>
      <c r="Y16" t="s">
        <v>31</v>
      </c>
      <c r="AB16" s="110" t="s">
        <v>385</v>
      </c>
      <c r="AC16" s="110"/>
      <c r="AG16" t="s">
        <v>31</v>
      </c>
      <c r="AJ16" s="110" t="s">
        <v>388</v>
      </c>
      <c r="AK16" s="110"/>
      <c r="AO16" t="s">
        <v>31</v>
      </c>
      <c r="AR16" s="110" t="s">
        <v>387</v>
      </c>
      <c r="AS16" s="110"/>
    </row>
    <row r="17" spans="1:47" x14ac:dyDescent="0.2">
      <c r="A17" s="80" t="s">
        <v>214</v>
      </c>
      <c r="B17">
        <v>7</v>
      </c>
      <c r="C17">
        <v>8</v>
      </c>
      <c r="D17">
        <v>7</v>
      </c>
      <c r="F17">
        <v>8</v>
      </c>
      <c r="G17">
        <v>9</v>
      </c>
      <c r="H17">
        <v>10</v>
      </c>
      <c r="J17">
        <v>5</v>
      </c>
      <c r="K17">
        <v>10</v>
      </c>
      <c r="L17">
        <v>9</v>
      </c>
      <c r="N17">
        <v>6.666666666666667</v>
      </c>
      <c r="O17">
        <v>9</v>
      </c>
      <c r="P17">
        <v>8.6666666666666661</v>
      </c>
      <c r="R17">
        <v>0.96568980185188258</v>
      </c>
      <c r="S17">
        <v>1.565481804416935</v>
      </c>
      <c r="T17">
        <v>1.2446892919445234</v>
      </c>
      <c r="U17" s="82" t="s">
        <v>63</v>
      </c>
    </row>
    <row r="18" spans="1:47" ht="16" thickBot="1" x14ac:dyDescent="0.25">
      <c r="A18" s="14" t="s">
        <v>122</v>
      </c>
      <c r="B18">
        <v>138</v>
      </c>
      <c r="C18">
        <v>135</v>
      </c>
      <c r="D18">
        <v>103</v>
      </c>
      <c r="F18">
        <v>116</v>
      </c>
      <c r="G18">
        <v>104</v>
      </c>
      <c r="H18">
        <v>127</v>
      </c>
      <c r="J18">
        <v>92</v>
      </c>
      <c r="K18">
        <v>116</v>
      </c>
      <c r="L18">
        <v>97</v>
      </c>
      <c r="N18">
        <v>115.33333333333333</v>
      </c>
      <c r="O18">
        <v>118.33333333333333</v>
      </c>
      <c r="P18">
        <v>109</v>
      </c>
      <c r="R18">
        <v>0.55754126705286078</v>
      </c>
      <c r="S18">
        <v>0.90383134119157849</v>
      </c>
      <c r="T18">
        <v>0.71862169776161533</v>
      </c>
      <c r="U18" s="82" t="s">
        <v>59</v>
      </c>
      <c r="Y18" t="s">
        <v>34</v>
      </c>
      <c r="AG18" t="s">
        <v>34</v>
      </c>
      <c r="AO18" t="s">
        <v>34</v>
      </c>
    </row>
    <row r="19" spans="1:47" x14ac:dyDescent="0.2">
      <c r="A19" t="s">
        <v>227</v>
      </c>
      <c r="B19">
        <f>(B17/B18)*100</f>
        <v>5.0724637681159424</v>
      </c>
      <c r="C19">
        <f>(C17/C18)*100</f>
        <v>5.9259259259259265</v>
      </c>
      <c r="D19">
        <f>(D17/D18)*100</f>
        <v>6.7961165048543686</v>
      </c>
      <c r="F19">
        <f>(F17/F18)*100</f>
        <v>6.8965517241379306</v>
      </c>
      <c r="G19">
        <f>(G17/G18)*100</f>
        <v>8.6538461538461533</v>
      </c>
      <c r="H19">
        <f>(H17/H18)*100</f>
        <v>7.8740157480314963</v>
      </c>
      <c r="J19">
        <f>(J17/J18)*100</f>
        <v>5.4347826086956523</v>
      </c>
      <c r="K19">
        <f>(K17/K18)*100</f>
        <v>8.6206896551724146</v>
      </c>
      <c r="L19">
        <f>(L17/L18)*100</f>
        <v>9.2783505154639183</v>
      </c>
      <c r="N19">
        <v>5.7803468208092488</v>
      </c>
      <c r="O19">
        <v>7.6056338028169019</v>
      </c>
      <c r="P19">
        <v>7.951070336391437</v>
      </c>
      <c r="W19" s="82"/>
      <c r="Y19" s="3" t="s">
        <v>35</v>
      </c>
      <c r="Z19" s="3" t="s">
        <v>36</v>
      </c>
      <c r="AA19" s="3" t="s">
        <v>37</v>
      </c>
      <c r="AB19" s="3" t="s">
        <v>38</v>
      </c>
      <c r="AC19" s="3" t="s">
        <v>39</v>
      </c>
      <c r="AG19" s="3" t="s">
        <v>35</v>
      </c>
      <c r="AH19" s="3" t="s">
        <v>36</v>
      </c>
      <c r="AI19" s="3" t="s">
        <v>37</v>
      </c>
      <c r="AJ19" s="3" t="s">
        <v>38</v>
      </c>
      <c r="AK19" s="3" t="s">
        <v>39</v>
      </c>
      <c r="AO19" s="3" t="s">
        <v>35</v>
      </c>
      <c r="AP19" s="3" t="s">
        <v>36</v>
      </c>
      <c r="AQ19" s="3" t="s">
        <v>37</v>
      </c>
      <c r="AR19" s="3" t="s">
        <v>38</v>
      </c>
      <c r="AS19" s="3" t="s">
        <v>39</v>
      </c>
    </row>
    <row r="20" spans="1:47" x14ac:dyDescent="0.2">
      <c r="V20" s="82"/>
      <c r="W20" s="82"/>
      <c r="Y20" t="s">
        <v>41</v>
      </c>
      <c r="Z20">
        <v>3</v>
      </c>
      <c r="AA20">
        <v>32.414187643020597</v>
      </c>
      <c r="AB20">
        <v>10.804729214340199</v>
      </c>
      <c r="AC20">
        <v>2.5148497051004881</v>
      </c>
      <c r="AG20" t="s">
        <v>41</v>
      </c>
      <c r="AH20">
        <v>3</v>
      </c>
      <c r="AI20">
        <v>31.973684210526315</v>
      </c>
      <c r="AJ20">
        <v>10.657894736842104</v>
      </c>
      <c r="AK20">
        <v>2.6142659279778684</v>
      </c>
      <c r="AO20" t="s">
        <v>41</v>
      </c>
      <c r="AP20">
        <v>3</v>
      </c>
      <c r="AQ20">
        <v>31.426024955436723</v>
      </c>
      <c r="AR20">
        <v>10.475341651812242</v>
      </c>
      <c r="AS20">
        <v>1.4308775419636879</v>
      </c>
    </row>
    <row r="21" spans="1:47" ht="16" thickBot="1" x14ac:dyDescent="0.25">
      <c r="A21" s="12" t="s">
        <v>229</v>
      </c>
      <c r="B21" t="s">
        <v>66</v>
      </c>
      <c r="C21" t="s">
        <v>28</v>
      </c>
      <c r="D21" t="s">
        <v>30</v>
      </c>
      <c r="F21" t="s">
        <v>66</v>
      </c>
      <c r="G21" t="s">
        <v>28</v>
      </c>
      <c r="H21" t="s">
        <v>30</v>
      </c>
      <c r="J21" t="s">
        <v>66</v>
      </c>
      <c r="K21" t="s">
        <v>28</v>
      </c>
      <c r="L21" t="s">
        <v>30</v>
      </c>
      <c r="N21" t="s">
        <v>66</v>
      </c>
      <c r="O21" t="s">
        <v>28</v>
      </c>
      <c r="P21" t="s">
        <v>30</v>
      </c>
      <c r="V21" s="82"/>
      <c r="Y21" s="4" t="s">
        <v>42</v>
      </c>
      <c r="Z21" s="4">
        <v>3</v>
      </c>
      <c r="AA21" s="4">
        <v>30.909545227386307</v>
      </c>
      <c r="AB21" s="4">
        <v>10.303181742462103</v>
      </c>
      <c r="AC21" s="4">
        <v>4.4388933302797113</v>
      </c>
      <c r="AG21" s="4" t="s">
        <v>42</v>
      </c>
      <c r="AH21" s="4">
        <v>3</v>
      </c>
      <c r="AI21" s="4">
        <v>31.634246979074565</v>
      </c>
      <c r="AJ21" s="4">
        <v>10.544748993024855</v>
      </c>
      <c r="AK21" s="4">
        <v>2.0838883484594533</v>
      </c>
      <c r="AO21" s="4" t="s">
        <v>42</v>
      </c>
      <c r="AP21" s="4">
        <v>3</v>
      </c>
      <c r="AQ21" s="4">
        <v>27.892031962624628</v>
      </c>
      <c r="AR21" s="4">
        <v>9.2973439875415433</v>
      </c>
      <c r="AS21" s="4">
        <v>1.6095596770028351</v>
      </c>
    </row>
    <row r="22" spans="1:47" x14ac:dyDescent="0.2">
      <c r="A22" s="80" t="s">
        <v>215</v>
      </c>
      <c r="B22">
        <v>11</v>
      </c>
      <c r="C22">
        <v>12</v>
      </c>
      <c r="D22">
        <v>10</v>
      </c>
      <c r="F22">
        <v>14</v>
      </c>
      <c r="G22">
        <v>12</v>
      </c>
      <c r="H22">
        <v>10</v>
      </c>
      <c r="J22">
        <v>10</v>
      </c>
      <c r="K22">
        <v>13</v>
      </c>
      <c r="L22">
        <v>10</v>
      </c>
      <c r="N22">
        <v>11.666666666666666</v>
      </c>
      <c r="O22">
        <v>12.333333333333334</v>
      </c>
      <c r="P22">
        <v>10</v>
      </c>
      <c r="R22" t="s">
        <v>66</v>
      </c>
      <c r="S22" t="s">
        <v>28</v>
      </c>
      <c r="T22" t="s">
        <v>30</v>
      </c>
    </row>
    <row r="23" spans="1:47" x14ac:dyDescent="0.2">
      <c r="A23" s="14" t="s">
        <v>122</v>
      </c>
      <c r="B23">
        <v>138</v>
      </c>
      <c r="C23">
        <v>135</v>
      </c>
      <c r="D23">
        <v>103</v>
      </c>
      <c r="F23">
        <v>116</v>
      </c>
      <c r="G23">
        <v>104</v>
      </c>
      <c r="H23">
        <v>127</v>
      </c>
      <c r="J23">
        <v>92</v>
      </c>
      <c r="K23">
        <v>116</v>
      </c>
      <c r="L23">
        <v>97</v>
      </c>
      <c r="N23">
        <v>115.33333333333333</v>
      </c>
      <c r="O23">
        <v>118.33333333333333</v>
      </c>
      <c r="P23">
        <v>109</v>
      </c>
      <c r="R23">
        <v>2.1068681331017638</v>
      </c>
      <c r="S23">
        <v>1.4435679230501948</v>
      </c>
      <c r="T23">
        <v>1.2686842306117134</v>
      </c>
      <c r="U23" s="82" t="s">
        <v>63</v>
      </c>
    </row>
    <row r="24" spans="1:47" ht="16" thickBot="1" x14ac:dyDescent="0.25">
      <c r="A24" t="s">
        <v>228</v>
      </c>
      <c r="B24">
        <f>(B22/B23)*100</f>
        <v>7.9710144927536222</v>
      </c>
      <c r="C24">
        <f>(C22/C23)*100</f>
        <v>8.8888888888888893</v>
      </c>
      <c r="D24">
        <f>(D22/D23)*100</f>
        <v>9.7087378640776691</v>
      </c>
      <c r="F24">
        <f>(F22/F23)*100</f>
        <v>12.068965517241379</v>
      </c>
      <c r="G24">
        <f t="shared" ref="G24:H24" si="8">(G22/G23)*100</f>
        <v>11.538461538461538</v>
      </c>
      <c r="H24">
        <f t="shared" si="8"/>
        <v>7.8740157480314963</v>
      </c>
      <c r="J24">
        <f>(J22/J23)*100</f>
        <v>10.869565217391305</v>
      </c>
      <c r="K24">
        <f t="shared" ref="K24:L24" si="9">(K22/K23)*100</f>
        <v>11.206896551724139</v>
      </c>
      <c r="L24">
        <f t="shared" si="9"/>
        <v>10.309278350515463</v>
      </c>
      <c r="N24">
        <v>10.115606936416185</v>
      </c>
      <c r="O24">
        <v>10.422535211267608</v>
      </c>
      <c r="P24">
        <v>9.1743119266055047</v>
      </c>
      <c r="R24">
        <v>1.2164008837933478</v>
      </c>
      <c r="S24">
        <v>0.83344432896653897</v>
      </c>
      <c r="T24">
        <v>0.73247518206030604</v>
      </c>
      <c r="U24" s="82" t="s">
        <v>59</v>
      </c>
      <c r="Y24" t="s">
        <v>44</v>
      </c>
      <c r="AG24" t="s">
        <v>44</v>
      </c>
      <c r="AO24" t="s">
        <v>44</v>
      </c>
    </row>
    <row r="25" spans="1:47" x14ac:dyDescent="0.2">
      <c r="Y25" s="3" t="s">
        <v>45</v>
      </c>
      <c r="Z25" s="3" t="s">
        <v>46</v>
      </c>
      <c r="AA25" s="3" t="s">
        <v>47</v>
      </c>
      <c r="AB25" s="3" t="s">
        <v>48</v>
      </c>
      <c r="AC25" s="3" t="s">
        <v>49</v>
      </c>
      <c r="AD25" s="3" t="s">
        <v>50</v>
      </c>
      <c r="AE25" s="3" t="s">
        <v>51</v>
      </c>
      <c r="AG25" s="3" t="s">
        <v>45</v>
      </c>
      <c r="AH25" s="3" t="s">
        <v>46</v>
      </c>
      <c r="AI25" s="3" t="s">
        <v>47</v>
      </c>
      <c r="AJ25" s="3" t="s">
        <v>48</v>
      </c>
      <c r="AK25" s="3" t="s">
        <v>49</v>
      </c>
      <c r="AL25" s="3" t="s">
        <v>50</v>
      </c>
      <c r="AM25" s="3" t="s">
        <v>51</v>
      </c>
      <c r="AO25" s="3" t="s">
        <v>45</v>
      </c>
      <c r="AP25" s="3" t="s">
        <v>46</v>
      </c>
      <c r="AQ25" s="3" t="s">
        <v>47</v>
      </c>
      <c r="AR25" s="3" t="s">
        <v>48</v>
      </c>
      <c r="AS25" s="3" t="s">
        <v>49</v>
      </c>
      <c r="AT25" s="3" t="s">
        <v>50</v>
      </c>
      <c r="AU25" s="3" t="s">
        <v>51</v>
      </c>
    </row>
    <row r="26" spans="1:47" x14ac:dyDescent="0.2">
      <c r="Y26" t="s">
        <v>52</v>
      </c>
      <c r="Z26">
        <v>0.37732479982096478</v>
      </c>
      <c r="AA26">
        <v>1</v>
      </c>
      <c r="AB26">
        <v>0.37732479982096478</v>
      </c>
      <c r="AC26">
        <v>0.10852422872146993</v>
      </c>
      <c r="AD26">
        <v>0.75835885989044194</v>
      </c>
      <c r="AE26">
        <v>7.708647422176786</v>
      </c>
      <c r="AG26" t="s">
        <v>52</v>
      </c>
      <c r="AH26">
        <v>1.9202939015936948E-2</v>
      </c>
      <c r="AI26">
        <v>1</v>
      </c>
      <c r="AJ26">
        <v>1.9202939015936948E-2</v>
      </c>
      <c r="AK26">
        <v>8.1746736637601704E-3</v>
      </c>
      <c r="AL26">
        <v>0.93230481129610032</v>
      </c>
      <c r="AM26">
        <v>7.708647422176786</v>
      </c>
      <c r="AO26" t="s">
        <v>52</v>
      </c>
      <c r="AP26">
        <v>2.081517745540828</v>
      </c>
      <c r="AQ26">
        <v>1</v>
      </c>
      <c r="AR26">
        <v>2.081517745540828</v>
      </c>
      <c r="AS26">
        <v>1.3692226450565383</v>
      </c>
      <c r="AT26">
        <v>0.30690686891051072</v>
      </c>
      <c r="AU26">
        <v>7.708647422176786</v>
      </c>
    </row>
    <row r="27" spans="1:47" x14ac:dyDescent="0.2">
      <c r="R27" s="114" t="s">
        <v>60</v>
      </c>
      <c r="S27" s="114"/>
      <c r="Y27" t="s">
        <v>53</v>
      </c>
      <c r="Z27">
        <v>13.907486070760404</v>
      </c>
      <c r="AA27">
        <v>4</v>
      </c>
      <c r="AB27">
        <v>3.4768715176901011</v>
      </c>
      <c r="AG27" t="s">
        <v>53</v>
      </c>
      <c r="AH27">
        <v>9.3963085528745225</v>
      </c>
      <c r="AI27">
        <v>4</v>
      </c>
      <c r="AJ27">
        <v>2.3490771382186306</v>
      </c>
      <c r="AO27" t="s">
        <v>53</v>
      </c>
      <c r="AP27">
        <v>6.0808744379329989</v>
      </c>
      <c r="AQ27">
        <v>4</v>
      </c>
      <c r="AR27">
        <v>1.5202186094832497</v>
      </c>
    </row>
    <row r="28" spans="1:47" x14ac:dyDescent="0.2">
      <c r="R28" s="11" t="s">
        <v>54</v>
      </c>
      <c r="S28" s="12"/>
    </row>
    <row r="29" spans="1:47" ht="16" thickBot="1" x14ac:dyDescent="0.25">
      <c r="Y29" s="4" t="s">
        <v>55</v>
      </c>
      <c r="Z29" s="4">
        <v>14.284810870581369</v>
      </c>
      <c r="AA29" s="4">
        <v>5</v>
      </c>
      <c r="AB29" s="4"/>
      <c r="AC29" s="4"/>
      <c r="AD29" s="4"/>
      <c r="AE29" s="4"/>
      <c r="AG29" s="4" t="s">
        <v>55</v>
      </c>
      <c r="AH29" s="4">
        <v>9.4155114918904594</v>
      </c>
      <c r="AI29" s="4">
        <v>5</v>
      </c>
      <c r="AJ29" s="4"/>
      <c r="AK29" s="4"/>
      <c r="AL29" s="4"/>
      <c r="AM29" s="4"/>
      <c r="AO29" s="4" t="s">
        <v>55</v>
      </c>
      <c r="AP29" s="4">
        <v>8.1623921834738269</v>
      </c>
      <c r="AQ29" s="4">
        <v>5</v>
      </c>
      <c r="AR29" s="4"/>
      <c r="AS29" s="4"/>
      <c r="AT29" s="4"/>
      <c r="AU29" s="4"/>
    </row>
    <row r="31" spans="1:47" s="83" customFormat="1" ht="10" customHeight="1" x14ac:dyDescent="0.2"/>
    <row r="32" spans="1:47" ht="16" thickBot="1" x14ac:dyDescent="0.25"/>
    <row r="33" spans="1:47" ht="16" thickBot="1" x14ac:dyDescent="0.25">
      <c r="A33" s="111" t="s">
        <v>233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3"/>
      <c r="W33" s="80" t="s">
        <v>226</v>
      </c>
      <c r="Y33" t="s">
        <v>31</v>
      </c>
      <c r="AB33" s="110" t="s">
        <v>389</v>
      </c>
      <c r="AC33" s="110"/>
      <c r="AG33" t="s">
        <v>31</v>
      </c>
      <c r="AJ33" s="110" t="s">
        <v>392</v>
      </c>
      <c r="AK33" s="110"/>
      <c r="AO33" t="s">
        <v>31</v>
      </c>
      <c r="AR33" s="110" t="s">
        <v>393</v>
      </c>
      <c r="AS33" s="110"/>
    </row>
    <row r="34" spans="1:47" x14ac:dyDescent="0.2">
      <c r="B34" s="109" t="s">
        <v>173</v>
      </c>
      <c r="C34" s="109"/>
      <c r="D34" s="109"/>
      <c r="F34" s="109" t="s">
        <v>68</v>
      </c>
      <c r="G34" s="109"/>
      <c r="H34" s="109"/>
      <c r="J34" s="109" t="s">
        <v>69</v>
      </c>
      <c r="K34" s="109"/>
      <c r="L34" s="109"/>
      <c r="N34" s="109" t="s">
        <v>172</v>
      </c>
      <c r="O34" s="109"/>
      <c r="P34" s="109"/>
      <c r="R34" s="109" t="s">
        <v>230</v>
      </c>
      <c r="S34" s="109"/>
      <c r="T34" s="109"/>
      <c r="W34" s="82"/>
    </row>
    <row r="35" spans="1:47" ht="16" thickBot="1" x14ac:dyDescent="0.25">
      <c r="A35" s="12" t="s">
        <v>28</v>
      </c>
      <c r="B35" t="s">
        <v>66</v>
      </c>
      <c r="C35" t="s">
        <v>28</v>
      </c>
      <c r="D35" t="s">
        <v>30</v>
      </c>
      <c r="F35" t="s">
        <v>66</v>
      </c>
      <c r="G35" t="s">
        <v>28</v>
      </c>
      <c r="H35" t="s">
        <v>30</v>
      </c>
      <c r="J35" t="s">
        <v>66</v>
      </c>
      <c r="K35" t="s">
        <v>28</v>
      </c>
      <c r="L35" t="s">
        <v>30</v>
      </c>
      <c r="N35" t="s">
        <v>66</v>
      </c>
      <c r="O35" t="s">
        <v>28</v>
      </c>
      <c r="P35" t="s">
        <v>30</v>
      </c>
      <c r="W35" s="82"/>
      <c r="Y35" t="s">
        <v>34</v>
      </c>
      <c r="AG35" t="s">
        <v>34</v>
      </c>
      <c r="AO35" t="s">
        <v>34</v>
      </c>
    </row>
    <row r="36" spans="1:47" x14ac:dyDescent="0.2">
      <c r="A36" s="80" t="s">
        <v>214</v>
      </c>
      <c r="B36">
        <v>5</v>
      </c>
      <c r="C36">
        <v>6</v>
      </c>
      <c r="D36">
        <v>5</v>
      </c>
      <c r="F36">
        <v>9</v>
      </c>
      <c r="G36">
        <v>8</v>
      </c>
      <c r="H36">
        <v>7</v>
      </c>
      <c r="J36">
        <v>10</v>
      </c>
      <c r="K36">
        <v>7</v>
      </c>
      <c r="L36">
        <v>6</v>
      </c>
      <c r="N36">
        <f t="shared" ref="N36:P37" si="10">AVERAGE(B36,F36,J36)</f>
        <v>8</v>
      </c>
      <c r="O36">
        <f t="shared" si="10"/>
        <v>7</v>
      </c>
      <c r="P36">
        <f t="shared" si="10"/>
        <v>6</v>
      </c>
      <c r="R36" t="s">
        <v>66</v>
      </c>
      <c r="S36" t="s">
        <v>28</v>
      </c>
      <c r="T36" t="s">
        <v>30</v>
      </c>
      <c r="Y36" s="3" t="s">
        <v>35</v>
      </c>
      <c r="Z36" s="3" t="s">
        <v>36</v>
      </c>
      <c r="AA36" s="3" t="s">
        <v>37</v>
      </c>
      <c r="AB36" s="3" t="s">
        <v>38</v>
      </c>
      <c r="AC36" s="3" t="s">
        <v>39</v>
      </c>
      <c r="AG36" s="3" t="s">
        <v>35</v>
      </c>
      <c r="AH36" s="3" t="s">
        <v>36</v>
      </c>
      <c r="AI36" s="3" t="s">
        <v>37</v>
      </c>
      <c r="AJ36" s="3" t="s">
        <v>38</v>
      </c>
      <c r="AK36" s="3" t="s">
        <v>39</v>
      </c>
      <c r="AO36" s="3" t="s">
        <v>35</v>
      </c>
      <c r="AP36" s="3" t="s">
        <v>36</v>
      </c>
      <c r="AQ36" s="3" t="s">
        <v>37</v>
      </c>
      <c r="AR36" s="3" t="s">
        <v>38</v>
      </c>
      <c r="AS36" s="3" t="s">
        <v>39</v>
      </c>
    </row>
    <row r="37" spans="1:47" x14ac:dyDescent="0.2">
      <c r="A37" s="14" t="s">
        <v>122</v>
      </c>
      <c r="B37">
        <v>55</v>
      </c>
      <c r="C37">
        <v>62</v>
      </c>
      <c r="D37">
        <v>67</v>
      </c>
      <c r="F37">
        <v>80</v>
      </c>
      <c r="G37">
        <v>80</v>
      </c>
      <c r="H37">
        <v>89</v>
      </c>
      <c r="J37">
        <v>92</v>
      </c>
      <c r="K37">
        <v>54</v>
      </c>
      <c r="L37">
        <v>64</v>
      </c>
      <c r="N37">
        <f t="shared" si="10"/>
        <v>75.666666666666671</v>
      </c>
      <c r="O37">
        <f t="shared" si="10"/>
        <v>65.333333333333329</v>
      </c>
      <c r="P37">
        <f t="shared" si="10"/>
        <v>73.333333333333329</v>
      </c>
      <c r="R37">
        <f>STDEVA(B38,F38,J38)</f>
        <v>1.1525350170971118</v>
      </c>
      <c r="S37">
        <f>STDEVA(C38,G38,K38)</f>
        <v>1.8109852103854536</v>
      </c>
      <c r="T37">
        <f>STDEVA(D38,H38,L38)</f>
        <v>1.008177021737827</v>
      </c>
      <c r="U37" s="82" t="s">
        <v>63</v>
      </c>
      <c r="Y37" t="s">
        <v>41</v>
      </c>
      <c r="Z37">
        <v>3</v>
      </c>
      <c r="AA37">
        <v>31.210474308300398</v>
      </c>
      <c r="AB37">
        <v>10.403491436100133</v>
      </c>
      <c r="AC37">
        <v>1.3283369656350399</v>
      </c>
      <c r="AG37" t="s">
        <v>41</v>
      </c>
      <c r="AH37">
        <v>3</v>
      </c>
      <c r="AI37">
        <v>32.640382317801674</v>
      </c>
      <c r="AJ37">
        <v>10.880127439267225</v>
      </c>
      <c r="AK37">
        <v>3.2796674322348451</v>
      </c>
      <c r="AO37" t="s">
        <v>41</v>
      </c>
      <c r="AP37">
        <v>3</v>
      </c>
      <c r="AQ37">
        <v>24.70285510649002</v>
      </c>
      <c r="AR37">
        <v>8.2342850354966739</v>
      </c>
      <c r="AS37">
        <v>1.0164209071601547</v>
      </c>
    </row>
    <row r="38" spans="1:47" ht="16" thickBot="1" x14ac:dyDescent="0.25">
      <c r="A38" t="s">
        <v>227</v>
      </c>
      <c r="B38">
        <f>(B36/B37)*100</f>
        <v>9.0909090909090917</v>
      </c>
      <c r="C38">
        <f>(C36/C37)*100</f>
        <v>9.67741935483871</v>
      </c>
      <c r="D38">
        <f>(D36/D37)*100</f>
        <v>7.4626865671641784</v>
      </c>
      <c r="F38">
        <f>(F36/F37)*100</f>
        <v>11.25</v>
      </c>
      <c r="G38">
        <f>(G36/G37)*100</f>
        <v>10</v>
      </c>
      <c r="H38">
        <f>(H36/H37)*100</f>
        <v>7.8651685393258424</v>
      </c>
      <c r="J38">
        <f>(J36/J37)*100</f>
        <v>10.869565217391305</v>
      </c>
      <c r="K38">
        <f>(K36/K37)*100</f>
        <v>12.962962962962962</v>
      </c>
      <c r="L38">
        <f>(L36/L37)*100</f>
        <v>9.375</v>
      </c>
      <c r="N38">
        <f>(N36/N37)*100</f>
        <v>10.572687224669602</v>
      </c>
      <c r="O38">
        <f>(O36/O37)*100</f>
        <v>10.714285714285715</v>
      </c>
      <c r="P38">
        <f>(P36/P37)*100</f>
        <v>8.1818181818181817</v>
      </c>
      <c r="R38">
        <f>R37/SQRT(3)</f>
        <v>0.66541640237148747</v>
      </c>
      <c r="S38">
        <f>S37/SQRT(3)</f>
        <v>1.0455727987144727</v>
      </c>
      <c r="T38">
        <f>T37/SQRT(3)</f>
        <v>0.58207127489112964</v>
      </c>
      <c r="U38" s="82" t="s">
        <v>59</v>
      </c>
      <c r="Y38" s="4" t="s">
        <v>42</v>
      </c>
      <c r="Z38" s="4">
        <v>3</v>
      </c>
      <c r="AA38" s="4">
        <v>22.107892107892109</v>
      </c>
      <c r="AB38" s="4">
        <v>7.36929736929737</v>
      </c>
      <c r="AC38" s="4">
        <v>8.2468314236546214E-2</v>
      </c>
      <c r="AG38" s="4" t="s">
        <v>42</v>
      </c>
      <c r="AH38" s="4">
        <v>3</v>
      </c>
      <c r="AI38" s="4">
        <v>22.547169811320757</v>
      </c>
      <c r="AJ38" s="4">
        <v>7.5157232704402519</v>
      </c>
      <c r="AK38" s="4">
        <v>0.69518610814445503</v>
      </c>
      <c r="AO38" s="4" t="s">
        <v>42</v>
      </c>
      <c r="AP38" s="4">
        <v>3</v>
      </c>
      <c r="AQ38" s="4">
        <v>14.895586593699802</v>
      </c>
      <c r="AR38" s="4">
        <v>4.9651955312332676</v>
      </c>
      <c r="AS38" s="4">
        <v>2.444711494215845</v>
      </c>
    </row>
    <row r="39" spans="1:47" x14ac:dyDescent="0.2">
      <c r="A39" s="14"/>
    </row>
    <row r="40" spans="1:47" x14ac:dyDescent="0.2">
      <c r="A40" s="12" t="s">
        <v>28</v>
      </c>
      <c r="B40" t="s">
        <v>66</v>
      </c>
      <c r="C40" t="s">
        <v>28</v>
      </c>
      <c r="D40" t="s">
        <v>30</v>
      </c>
      <c r="F40" t="s">
        <v>66</v>
      </c>
      <c r="G40" t="s">
        <v>28</v>
      </c>
      <c r="H40" t="s">
        <v>30</v>
      </c>
      <c r="J40" t="s">
        <v>66</v>
      </c>
      <c r="K40" t="s">
        <v>28</v>
      </c>
      <c r="L40" t="s">
        <v>30</v>
      </c>
      <c r="N40" t="s">
        <v>66</v>
      </c>
      <c r="O40" t="s">
        <v>28</v>
      </c>
      <c r="P40" t="s">
        <v>30</v>
      </c>
      <c r="W40" s="82"/>
    </row>
    <row r="41" spans="1:47" ht="16" thickBot="1" x14ac:dyDescent="0.25">
      <c r="A41" s="80" t="s">
        <v>215</v>
      </c>
      <c r="B41">
        <v>4</v>
      </c>
      <c r="C41">
        <v>6</v>
      </c>
      <c r="D41">
        <v>7</v>
      </c>
      <c r="F41">
        <v>8</v>
      </c>
      <c r="G41">
        <v>5</v>
      </c>
      <c r="H41">
        <v>7</v>
      </c>
      <c r="J41">
        <v>11</v>
      </c>
      <c r="K41">
        <v>8</v>
      </c>
      <c r="L41">
        <v>7</v>
      </c>
      <c r="N41">
        <f t="shared" ref="N41:P42" si="11">AVERAGE(B41,F41,J41)</f>
        <v>7.666666666666667</v>
      </c>
      <c r="O41">
        <f t="shared" si="11"/>
        <v>6.333333333333333</v>
      </c>
      <c r="P41">
        <f t="shared" si="11"/>
        <v>7</v>
      </c>
      <c r="R41" t="s">
        <v>66</v>
      </c>
      <c r="S41" t="s">
        <v>28</v>
      </c>
      <c r="T41" t="s">
        <v>30</v>
      </c>
      <c r="W41" s="82"/>
      <c r="Y41" t="s">
        <v>44</v>
      </c>
      <c r="AG41" t="s">
        <v>44</v>
      </c>
      <c r="AO41" t="s">
        <v>44</v>
      </c>
    </row>
    <row r="42" spans="1:47" x14ac:dyDescent="0.2">
      <c r="A42" s="14" t="s">
        <v>122</v>
      </c>
      <c r="B42">
        <v>55</v>
      </c>
      <c r="C42">
        <v>62</v>
      </c>
      <c r="D42">
        <v>67</v>
      </c>
      <c r="F42">
        <v>80</v>
      </c>
      <c r="G42">
        <v>80</v>
      </c>
      <c r="H42">
        <v>89</v>
      </c>
      <c r="J42">
        <v>92</v>
      </c>
      <c r="K42">
        <v>54</v>
      </c>
      <c r="L42">
        <v>64</v>
      </c>
      <c r="N42">
        <f t="shared" si="11"/>
        <v>75.666666666666671</v>
      </c>
      <c r="O42">
        <f t="shared" si="11"/>
        <v>65.333333333333329</v>
      </c>
      <c r="P42">
        <f t="shared" si="11"/>
        <v>73.333333333333329</v>
      </c>
      <c r="R42">
        <f>STDEVA(B43,F43,J43)</f>
        <v>2.3524428596717755</v>
      </c>
      <c r="S42">
        <f>STDEVA(C43,G43,K43)</f>
        <v>4.3107634350575958</v>
      </c>
      <c r="T42">
        <f>STDEVA(D43,H43,L43)</f>
        <v>1.6506993226333144</v>
      </c>
      <c r="U42" s="82" t="s">
        <v>63</v>
      </c>
      <c r="Y42" s="3" t="s">
        <v>45</v>
      </c>
      <c r="Z42" s="3" t="s">
        <v>46</v>
      </c>
      <c r="AA42" s="3" t="s">
        <v>47</v>
      </c>
      <c r="AB42" s="3" t="s">
        <v>48</v>
      </c>
      <c r="AC42" s="3" t="s">
        <v>49</v>
      </c>
      <c r="AD42" s="3" t="s">
        <v>50</v>
      </c>
      <c r="AE42" s="3" t="s">
        <v>51</v>
      </c>
      <c r="AG42" s="3" t="s">
        <v>45</v>
      </c>
      <c r="AH42" s="3" t="s">
        <v>46</v>
      </c>
      <c r="AI42" s="3" t="s">
        <v>47</v>
      </c>
      <c r="AJ42" s="3" t="s">
        <v>48</v>
      </c>
      <c r="AK42" s="3" t="s">
        <v>49</v>
      </c>
      <c r="AL42" s="3" t="s">
        <v>50</v>
      </c>
      <c r="AM42" s="3" t="s">
        <v>51</v>
      </c>
      <c r="AO42" s="3" t="s">
        <v>45</v>
      </c>
      <c r="AP42" s="3" t="s">
        <v>46</v>
      </c>
      <c r="AQ42" s="3" t="s">
        <v>47</v>
      </c>
      <c r="AR42" s="3" t="s">
        <v>48</v>
      </c>
      <c r="AS42" s="3" t="s">
        <v>49</v>
      </c>
      <c r="AT42" s="3" t="s">
        <v>50</v>
      </c>
      <c r="AU42" s="3" t="s">
        <v>51</v>
      </c>
    </row>
    <row r="43" spans="1:47" x14ac:dyDescent="0.2">
      <c r="A43" t="s">
        <v>228</v>
      </c>
      <c r="B43">
        <f>(B41/B42)*100</f>
        <v>7.2727272727272725</v>
      </c>
      <c r="C43">
        <f>(C41/C42)*100</f>
        <v>9.67741935483871</v>
      </c>
      <c r="D43">
        <f>(D41/D42)*100</f>
        <v>10.44776119402985</v>
      </c>
      <c r="F43">
        <f>(F41/F42)*100</f>
        <v>10</v>
      </c>
      <c r="G43">
        <f t="shared" ref="G43:H43" si="12">(G41/G42)*100</f>
        <v>6.25</v>
      </c>
      <c r="H43">
        <f t="shared" si="12"/>
        <v>7.8651685393258424</v>
      </c>
      <c r="J43">
        <f>(J41/J42)*100</f>
        <v>11.956521739130435</v>
      </c>
      <c r="K43">
        <f t="shared" ref="K43:L43" si="13">(K41/K42)*100</f>
        <v>14.814814814814813</v>
      </c>
      <c r="L43">
        <f t="shared" si="13"/>
        <v>10.9375</v>
      </c>
      <c r="N43">
        <f>(N41/N42)*100</f>
        <v>10.13215859030837</v>
      </c>
      <c r="O43">
        <f>(O41/O42)*100</f>
        <v>9.6938775510204085</v>
      </c>
      <c r="P43">
        <f>(P41/P42)*100</f>
        <v>9.5454545454545467</v>
      </c>
      <c r="R43">
        <f>R42/SQRT(3)</f>
        <v>1.3581835182847126</v>
      </c>
      <c r="S43">
        <f>S42/SQRT(3)</f>
        <v>2.4888204296432987</v>
      </c>
      <c r="T43">
        <f>T42/SQRT(3)</f>
        <v>0.953031698273477</v>
      </c>
      <c r="U43" s="82" t="s">
        <v>59</v>
      </c>
      <c r="Y43" t="s">
        <v>52</v>
      </c>
      <c r="Z43">
        <v>13.809500452531635</v>
      </c>
      <c r="AA43">
        <v>1</v>
      </c>
      <c r="AB43">
        <v>13.809500452531635</v>
      </c>
      <c r="AC43">
        <v>19.576763213968974</v>
      </c>
      <c r="AD43">
        <v>1.1470227020873651E-2</v>
      </c>
      <c r="AE43">
        <v>7.708647422176786</v>
      </c>
      <c r="AG43" t="s">
        <v>52</v>
      </c>
      <c r="AH43">
        <v>16.978823116830469</v>
      </c>
      <c r="AI43">
        <v>1</v>
      </c>
      <c r="AJ43">
        <v>16.978823116830469</v>
      </c>
      <c r="AK43">
        <v>8.5431188567568093</v>
      </c>
      <c r="AL43">
        <v>4.3120013212554174E-2</v>
      </c>
      <c r="AM43">
        <v>7.708647422176786</v>
      </c>
      <c r="AO43" t="s">
        <v>52</v>
      </c>
      <c r="AP43">
        <v>16.030419280327742</v>
      </c>
      <c r="AQ43">
        <v>1</v>
      </c>
      <c r="AR43">
        <v>16.030419280327742</v>
      </c>
      <c r="AS43">
        <v>9.2631066491156044</v>
      </c>
      <c r="AT43">
        <v>3.8269524629763692E-2</v>
      </c>
      <c r="AU43">
        <v>7.708647422176786</v>
      </c>
    </row>
    <row r="44" spans="1:47" x14ac:dyDescent="0.2">
      <c r="Y44" t="s">
        <v>53</v>
      </c>
      <c r="Z44">
        <v>2.8216105597431724</v>
      </c>
      <c r="AA44">
        <v>4</v>
      </c>
      <c r="AB44">
        <v>0.70540263993579311</v>
      </c>
      <c r="AG44" t="s">
        <v>53</v>
      </c>
      <c r="AH44">
        <v>7.9497070807585946</v>
      </c>
      <c r="AI44">
        <v>4</v>
      </c>
      <c r="AJ44">
        <v>1.9874267701896486</v>
      </c>
      <c r="AO44" t="s">
        <v>53</v>
      </c>
      <c r="AP44">
        <v>6.9222648027519993</v>
      </c>
      <c r="AQ44">
        <v>4</v>
      </c>
      <c r="AR44">
        <v>1.7305662006879998</v>
      </c>
    </row>
    <row r="45" spans="1:47" x14ac:dyDescent="0.2">
      <c r="A45" s="14"/>
      <c r="B45" s="109" t="s">
        <v>173</v>
      </c>
      <c r="C45" s="109"/>
      <c r="D45" s="109"/>
      <c r="F45" s="109" t="s">
        <v>68</v>
      </c>
      <c r="G45" s="109"/>
      <c r="H45" s="109"/>
      <c r="J45" s="109" t="s">
        <v>69</v>
      </c>
      <c r="K45" s="109"/>
      <c r="L45" s="109"/>
      <c r="N45" s="109" t="s">
        <v>172</v>
      </c>
      <c r="O45" s="109"/>
      <c r="P45" s="109"/>
      <c r="R45" s="109" t="s">
        <v>235</v>
      </c>
      <c r="S45" s="109"/>
      <c r="T45" s="109"/>
      <c r="W45" s="82"/>
    </row>
    <row r="46" spans="1:47" ht="16" thickBot="1" x14ac:dyDescent="0.25">
      <c r="A46" s="12" t="s">
        <v>234</v>
      </c>
      <c r="B46" t="s">
        <v>66</v>
      </c>
      <c r="C46" t="s">
        <v>28</v>
      </c>
      <c r="D46" t="s">
        <v>30</v>
      </c>
      <c r="F46" t="s">
        <v>66</v>
      </c>
      <c r="G46" t="s">
        <v>28</v>
      </c>
      <c r="H46" t="s">
        <v>30</v>
      </c>
      <c r="J46" t="s">
        <v>66</v>
      </c>
      <c r="K46" t="s">
        <v>28</v>
      </c>
      <c r="L46" t="s">
        <v>30</v>
      </c>
      <c r="N46" t="s">
        <v>66</v>
      </c>
      <c r="O46" t="s">
        <v>28</v>
      </c>
      <c r="P46" t="s">
        <v>30</v>
      </c>
      <c r="W46" s="82"/>
      <c r="Y46" s="4" t="s">
        <v>55</v>
      </c>
      <c r="Z46" s="4">
        <v>16.631111012274808</v>
      </c>
      <c r="AA46" s="4">
        <v>5</v>
      </c>
      <c r="AB46" s="4"/>
      <c r="AC46" s="4"/>
      <c r="AD46" s="4"/>
      <c r="AE46" s="4"/>
      <c r="AG46" s="4" t="s">
        <v>55</v>
      </c>
      <c r="AH46" s="4">
        <v>24.928530197589062</v>
      </c>
      <c r="AI46" s="4">
        <v>5</v>
      </c>
      <c r="AJ46" s="4"/>
      <c r="AK46" s="4"/>
      <c r="AL46" s="4"/>
      <c r="AM46" s="4"/>
      <c r="AO46" s="4" t="s">
        <v>55</v>
      </c>
      <c r="AP46" s="4">
        <v>22.952684083079742</v>
      </c>
      <c r="AQ46" s="4">
        <v>5</v>
      </c>
      <c r="AR46" s="4"/>
      <c r="AS46" s="4"/>
      <c r="AT46" s="4"/>
      <c r="AU46" s="4"/>
    </row>
    <row r="47" spans="1:47" x14ac:dyDescent="0.2">
      <c r="A47" s="80" t="s">
        <v>214</v>
      </c>
      <c r="B47">
        <v>4</v>
      </c>
      <c r="C47">
        <v>5</v>
      </c>
      <c r="D47">
        <v>2</v>
      </c>
      <c r="F47">
        <v>5</v>
      </c>
      <c r="G47">
        <v>5</v>
      </c>
      <c r="H47">
        <v>3</v>
      </c>
      <c r="J47">
        <v>4</v>
      </c>
      <c r="K47">
        <v>4</v>
      </c>
      <c r="L47">
        <v>4</v>
      </c>
      <c r="N47">
        <f t="shared" ref="N47:P48" si="14">AVERAGE(B47,F47,J47)</f>
        <v>4.333333333333333</v>
      </c>
      <c r="O47">
        <f t="shared" si="14"/>
        <v>4.666666666666667</v>
      </c>
      <c r="P47">
        <f t="shared" si="14"/>
        <v>3</v>
      </c>
      <c r="R47" t="s">
        <v>66</v>
      </c>
      <c r="S47" t="s">
        <v>28</v>
      </c>
      <c r="T47" t="s">
        <v>30</v>
      </c>
    </row>
    <row r="48" spans="1:47" x14ac:dyDescent="0.2">
      <c r="A48" s="14" t="s">
        <v>122</v>
      </c>
      <c r="B48">
        <v>55</v>
      </c>
      <c r="C48">
        <v>75</v>
      </c>
      <c r="D48">
        <v>63</v>
      </c>
      <c r="F48">
        <v>70</v>
      </c>
      <c r="G48">
        <v>60</v>
      </c>
      <c r="H48">
        <v>53</v>
      </c>
      <c r="J48">
        <v>52</v>
      </c>
      <c r="K48">
        <v>53</v>
      </c>
      <c r="L48">
        <v>66</v>
      </c>
      <c r="N48">
        <f t="shared" si="14"/>
        <v>59</v>
      </c>
      <c r="O48">
        <f t="shared" si="14"/>
        <v>62.666666666666664</v>
      </c>
      <c r="P48">
        <f t="shared" si="14"/>
        <v>60.666666666666664</v>
      </c>
      <c r="R48">
        <f>STDEVA(B49,F49,J49)</f>
        <v>0.28717296919547669</v>
      </c>
      <c r="S48">
        <f>STDEVA(C49,G49,K49)</f>
        <v>0.83377821280269437</v>
      </c>
      <c r="T48">
        <f>STDEVA(D49,H49,L49)</f>
        <v>1.5635573204126048</v>
      </c>
      <c r="U48" s="82" t="s">
        <v>63</v>
      </c>
      <c r="W48" s="80" t="s">
        <v>225</v>
      </c>
      <c r="Y48" t="s">
        <v>31</v>
      </c>
      <c r="AB48" s="110" t="s">
        <v>390</v>
      </c>
      <c r="AC48" s="110"/>
      <c r="AG48" t="s">
        <v>31</v>
      </c>
      <c r="AJ48" s="110" t="s">
        <v>391</v>
      </c>
      <c r="AK48" s="110"/>
      <c r="AO48" t="s">
        <v>31</v>
      </c>
      <c r="AR48" s="110" t="s">
        <v>393</v>
      </c>
      <c r="AS48" s="110"/>
    </row>
    <row r="49" spans="1:47" x14ac:dyDescent="0.2">
      <c r="A49" t="s">
        <v>227</v>
      </c>
      <c r="B49">
        <f>(B47/B48)*100</f>
        <v>7.2727272727272725</v>
      </c>
      <c r="C49">
        <f>(C47/C48)*100</f>
        <v>6.666666666666667</v>
      </c>
      <c r="D49">
        <f>(D47/D48)*100</f>
        <v>3.1746031746031744</v>
      </c>
      <c r="F49">
        <f>(F47/F48)*100</f>
        <v>7.1428571428571423</v>
      </c>
      <c r="G49">
        <f>(G47/G48)*100</f>
        <v>8.3333333333333321</v>
      </c>
      <c r="H49">
        <f>(H47/H48)*100</f>
        <v>5.6603773584905666</v>
      </c>
      <c r="J49">
        <f>(J47/J48)*100</f>
        <v>7.6923076923076925</v>
      </c>
      <c r="K49">
        <f>(K47/K48)*100</f>
        <v>7.5471698113207548</v>
      </c>
      <c r="L49">
        <f>(L47/L48)*100</f>
        <v>6.0606060606060606</v>
      </c>
      <c r="N49">
        <f>(N47/N48)*100</f>
        <v>7.3446327683615813</v>
      </c>
      <c r="O49">
        <f>(O47/O48)*100</f>
        <v>7.4468085106382986</v>
      </c>
      <c r="P49">
        <f>(P47/P48)*100</f>
        <v>4.9450549450549453</v>
      </c>
      <c r="R49">
        <f>R48/SQRT(3)</f>
        <v>0.16579939106899258</v>
      </c>
      <c r="S49">
        <f>S48/SQRT(3)</f>
        <v>0.48138207560608071</v>
      </c>
      <c r="T49">
        <f>T48/SQRT(3)</f>
        <v>0.90272023983362737</v>
      </c>
      <c r="U49" s="82" t="s">
        <v>59</v>
      </c>
    </row>
    <row r="50" spans="1:47" ht="16" thickBot="1" x14ac:dyDescent="0.25">
      <c r="Y50" t="s">
        <v>34</v>
      </c>
      <c r="AG50" t="s">
        <v>34</v>
      </c>
      <c r="AO50" t="s">
        <v>34</v>
      </c>
    </row>
    <row r="51" spans="1:47" x14ac:dyDescent="0.2">
      <c r="A51" s="12" t="s">
        <v>234</v>
      </c>
      <c r="B51" t="s">
        <v>66</v>
      </c>
      <c r="C51" t="s">
        <v>28</v>
      </c>
      <c r="D51" t="s">
        <v>30</v>
      </c>
      <c r="F51" t="s">
        <v>66</v>
      </c>
      <c r="G51" t="s">
        <v>28</v>
      </c>
      <c r="H51" t="s">
        <v>30</v>
      </c>
      <c r="J51" t="s">
        <v>66</v>
      </c>
      <c r="K51" t="s">
        <v>28</v>
      </c>
      <c r="L51" t="s">
        <v>30</v>
      </c>
      <c r="N51" t="s">
        <v>66</v>
      </c>
      <c r="O51" t="s">
        <v>28</v>
      </c>
      <c r="P51" t="s">
        <v>30</v>
      </c>
      <c r="Y51" s="3" t="s">
        <v>35</v>
      </c>
      <c r="Z51" s="3" t="s">
        <v>36</v>
      </c>
      <c r="AA51" s="3" t="s">
        <v>37</v>
      </c>
      <c r="AB51" s="3" t="s">
        <v>38</v>
      </c>
      <c r="AC51" s="3" t="s">
        <v>39</v>
      </c>
      <c r="AG51" s="3" t="s">
        <v>35</v>
      </c>
      <c r="AH51" s="3" t="s">
        <v>36</v>
      </c>
      <c r="AI51" s="3" t="s">
        <v>37</v>
      </c>
      <c r="AJ51" s="3" t="s">
        <v>38</v>
      </c>
      <c r="AK51" s="3" t="s">
        <v>39</v>
      </c>
      <c r="AO51" s="3" t="s">
        <v>35</v>
      </c>
      <c r="AP51" s="3" t="s">
        <v>36</v>
      </c>
      <c r="AQ51" s="3" t="s">
        <v>37</v>
      </c>
      <c r="AR51" s="3" t="s">
        <v>38</v>
      </c>
      <c r="AS51" s="3" t="s">
        <v>39</v>
      </c>
    </row>
    <row r="52" spans="1:47" x14ac:dyDescent="0.2">
      <c r="A52" s="80" t="s">
        <v>215</v>
      </c>
      <c r="B52">
        <v>7</v>
      </c>
      <c r="C52">
        <v>8</v>
      </c>
      <c r="D52">
        <v>6</v>
      </c>
      <c r="F52">
        <v>7</v>
      </c>
      <c r="G52">
        <v>6</v>
      </c>
      <c r="H52">
        <v>5</v>
      </c>
      <c r="J52">
        <v>7</v>
      </c>
      <c r="K52">
        <v>6</v>
      </c>
      <c r="L52">
        <v>10</v>
      </c>
      <c r="N52">
        <f t="shared" ref="N52:P53" si="15">AVERAGE(B52,F52,J52)</f>
        <v>7</v>
      </c>
      <c r="O52">
        <f t="shared" si="15"/>
        <v>6.666666666666667</v>
      </c>
      <c r="P52">
        <f t="shared" si="15"/>
        <v>7</v>
      </c>
      <c r="R52" t="s">
        <v>66</v>
      </c>
      <c r="S52" t="s">
        <v>28</v>
      </c>
      <c r="T52" t="s">
        <v>30</v>
      </c>
      <c r="Y52" t="s">
        <v>41</v>
      </c>
      <c r="Z52">
        <v>3</v>
      </c>
      <c r="AA52">
        <v>27.114960282436009</v>
      </c>
      <c r="AB52">
        <v>9.0383200941453357</v>
      </c>
      <c r="AC52">
        <v>15.815084900496416</v>
      </c>
      <c r="AG52" t="s">
        <v>41</v>
      </c>
      <c r="AH52">
        <v>3</v>
      </c>
      <c r="AI52">
        <v>30.742234169653521</v>
      </c>
      <c r="AJ52">
        <v>10.247411389884507</v>
      </c>
      <c r="AK52">
        <v>18.58268139302956</v>
      </c>
      <c r="AO52" t="s">
        <v>41</v>
      </c>
      <c r="AP52">
        <v>3</v>
      </c>
      <c r="AQ52">
        <v>27.561148528890463</v>
      </c>
      <c r="AR52">
        <v>9.187049509630155</v>
      </c>
      <c r="AS52">
        <v>10.898515518245418</v>
      </c>
    </row>
    <row r="53" spans="1:47" ht="16" thickBot="1" x14ac:dyDescent="0.25">
      <c r="A53" s="14" t="s">
        <v>122</v>
      </c>
      <c r="B53">
        <v>55</v>
      </c>
      <c r="C53">
        <v>75</v>
      </c>
      <c r="D53">
        <v>63</v>
      </c>
      <c r="F53">
        <v>70</v>
      </c>
      <c r="G53">
        <v>60</v>
      </c>
      <c r="H53">
        <v>53</v>
      </c>
      <c r="J53">
        <v>52</v>
      </c>
      <c r="K53">
        <v>53</v>
      </c>
      <c r="L53">
        <v>66</v>
      </c>
      <c r="N53">
        <f t="shared" si="15"/>
        <v>59</v>
      </c>
      <c r="O53">
        <f t="shared" si="15"/>
        <v>62.666666666666664</v>
      </c>
      <c r="P53">
        <f t="shared" si="15"/>
        <v>60.666666666666664</v>
      </c>
      <c r="R53">
        <f>STDEVA(B54,F54,J54)</f>
        <v>1.8238883015028065</v>
      </c>
      <c r="S53">
        <f>STDEVA(C54,G54,K54)</f>
        <v>0.66038734144396116</v>
      </c>
      <c r="T53">
        <f>STDEVA(D54,H54,L54)</f>
        <v>3.2754021173484471</v>
      </c>
      <c r="U53" s="82" t="s">
        <v>63</v>
      </c>
      <c r="Y53" s="4" t="s">
        <v>42</v>
      </c>
      <c r="Z53" s="4">
        <v>3</v>
      </c>
      <c r="AA53" s="4">
        <v>36.188811188811187</v>
      </c>
      <c r="AB53" s="4">
        <v>12.062937062937062</v>
      </c>
      <c r="AC53" s="4">
        <v>3.326568536358792</v>
      </c>
      <c r="AG53" s="4" t="s">
        <v>42</v>
      </c>
      <c r="AH53" s="4">
        <v>3</v>
      </c>
      <c r="AI53" s="4">
        <v>31.987421383647799</v>
      </c>
      <c r="AJ53" s="4">
        <v>10.662473794549266</v>
      </c>
      <c r="AK53" s="4">
        <v>0.43611144073942287</v>
      </c>
      <c r="AO53" s="4" t="s">
        <v>42</v>
      </c>
      <c r="AP53" s="4">
        <v>3</v>
      </c>
      <c r="AQ53" s="4">
        <v>35.351214410911282</v>
      </c>
      <c r="AR53" s="4">
        <v>11.783738136970427</v>
      </c>
      <c r="AS53" s="4">
        <v>15.939049718567873</v>
      </c>
    </row>
    <row r="54" spans="1:47" x14ac:dyDescent="0.2">
      <c r="A54" t="s">
        <v>228</v>
      </c>
      <c r="B54">
        <f>(B52/B53)*100</f>
        <v>12.727272727272727</v>
      </c>
      <c r="C54">
        <f>(C52/C53)*100</f>
        <v>10.666666666666668</v>
      </c>
      <c r="D54">
        <f>(D52/D53)*100</f>
        <v>9.5238095238095237</v>
      </c>
      <c r="F54">
        <f>(F52/F53)*100</f>
        <v>10</v>
      </c>
      <c r="G54">
        <f t="shared" ref="G54:H54" si="16">(G52/G53)*100</f>
        <v>10</v>
      </c>
      <c r="H54">
        <f t="shared" si="16"/>
        <v>9.433962264150944</v>
      </c>
      <c r="J54">
        <f>(J52/J53)*100</f>
        <v>13.461538461538462</v>
      </c>
      <c r="K54">
        <f t="shared" ref="K54:L54" si="17">(K52/K53)*100</f>
        <v>11.320754716981133</v>
      </c>
      <c r="L54">
        <f t="shared" si="17"/>
        <v>15.151515151515152</v>
      </c>
      <c r="N54">
        <f>(N52/N53)*100</f>
        <v>11.864406779661017</v>
      </c>
      <c r="O54">
        <f>(O52/O53)*100</f>
        <v>10.638297872340427</v>
      </c>
      <c r="P54">
        <f>(P52/P53)*100</f>
        <v>11.538461538461538</v>
      </c>
      <c r="R54">
        <f>R53/SQRT(3)</f>
        <v>1.0530224018444547</v>
      </c>
      <c r="S54">
        <f>S53/SQRT(3)</f>
        <v>0.38127480935209229</v>
      </c>
      <c r="T54">
        <f>T53/SQRT(3)</f>
        <v>1.8910542941553963</v>
      </c>
      <c r="U54" s="82" t="s">
        <v>59</v>
      </c>
    </row>
    <row r="56" spans="1:47" ht="16" thickBot="1" x14ac:dyDescent="0.25">
      <c r="Y56" t="s">
        <v>44</v>
      </c>
      <c r="AG56" t="s">
        <v>44</v>
      </c>
      <c r="AO56" t="s">
        <v>44</v>
      </c>
    </row>
    <row r="57" spans="1:47" x14ac:dyDescent="0.2">
      <c r="R57" s="114" t="s">
        <v>60</v>
      </c>
      <c r="S57" s="114"/>
      <c r="Y57" s="3" t="s">
        <v>45</v>
      </c>
      <c r="Z57" s="3" t="s">
        <v>46</v>
      </c>
      <c r="AA57" s="3" t="s">
        <v>47</v>
      </c>
      <c r="AB57" s="3" t="s">
        <v>48</v>
      </c>
      <c r="AC57" s="3" t="s">
        <v>49</v>
      </c>
      <c r="AD57" s="3" t="s">
        <v>50</v>
      </c>
      <c r="AE57" s="3" t="s">
        <v>51</v>
      </c>
      <c r="AG57" s="3" t="s">
        <v>45</v>
      </c>
      <c r="AH57" s="3" t="s">
        <v>46</v>
      </c>
      <c r="AI57" s="3" t="s">
        <v>47</v>
      </c>
      <c r="AJ57" s="3" t="s">
        <v>48</v>
      </c>
      <c r="AK57" s="3" t="s">
        <v>49</v>
      </c>
      <c r="AL57" s="3" t="s">
        <v>50</v>
      </c>
      <c r="AM57" s="3" t="s">
        <v>51</v>
      </c>
      <c r="AO57" s="3" t="s">
        <v>45</v>
      </c>
      <c r="AP57" s="3" t="s">
        <v>46</v>
      </c>
      <c r="AQ57" s="3" t="s">
        <v>47</v>
      </c>
      <c r="AR57" s="3" t="s">
        <v>48</v>
      </c>
      <c r="AS57" s="3" t="s">
        <v>49</v>
      </c>
      <c r="AT57" s="3" t="s">
        <v>50</v>
      </c>
      <c r="AU57" s="3" t="s">
        <v>51</v>
      </c>
    </row>
    <row r="58" spans="1:47" x14ac:dyDescent="0.2">
      <c r="R58" s="11" t="s">
        <v>54</v>
      </c>
      <c r="S58" s="12"/>
      <c r="Y58" t="s">
        <v>52</v>
      </c>
      <c r="Z58">
        <v>13.722461711854272</v>
      </c>
      <c r="AA58">
        <v>1</v>
      </c>
      <c r="AB58">
        <v>13.722461711854272</v>
      </c>
      <c r="AC58">
        <v>1.4337801859303523</v>
      </c>
      <c r="AD58">
        <v>0.29725477477432771</v>
      </c>
      <c r="AE58">
        <v>7.708647422176786</v>
      </c>
      <c r="AG58" t="s">
        <v>52</v>
      </c>
      <c r="AH58">
        <v>0.25841519964914283</v>
      </c>
      <c r="AI58">
        <v>1</v>
      </c>
      <c r="AJ58">
        <v>0.25841519964914283</v>
      </c>
      <c r="AK58">
        <v>2.7174721540718549E-2</v>
      </c>
      <c r="AL58">
        <v>0.87705931617436494</v>
      </c>
      <c r="AM58">
        <v>7.708647422176786</v>
      </c>
      <c r="AO58" t="s">
        <v>52</v>
      </c>
      <c r="AP58">
        <v>10.114187741037476</v>
      </c>
      <c r="AQ58">
        <v>1</v>
      </c>
      <c r="AR58">
        <v>10.114187741037476</v>
      </c>
      <c r="AS58">
        <v>0.75373363058760501</v>
      </c>
      <c r="AT58">
        <v>0.43428120167652817</v>
      </c>
      <c r="AU58">
        <v>7.708647422176786</v>
      </c>
    </row>
    <row r="59" spans="1:47" x14ac:dyDescent="0.2">
      <c r="Y59" t="s">
        <v>53</v>
      </c>
      <c r="Z59">
        <v>38.283306873710302</v>
      </c>
      <c r="AA59">
        <v>4</v>
      </c>
      <c r="AB59">
        <v>9.5708267184275755</v>
      </c>
      <c r="AG59" t="s">
        <v>53</v>
      </c>
      <c r="AH59">
        <v>38.037585667537975</v>
      </c>
      <c r="AI59">
        <v>4</v>
      </c>
      <c r="AJ59">
        <v>9.5093964168844938</v>
      </c>
      <c r="AO59" t="s">
        <v>53</v>
      </c>
      <c r="AP59">
        <v>53.67513047362651</v>
      </c>
      <c r="AQ59">
        <v>4</v>
      </c>
      <c r="AR59">
        <v>13.418782618406627</v>
      </c>
    </row>
    <row r="61" spans="1:47" ht="16" thickBot="1" x14ac:dyDescent="0.25">
      <c r="Y61" s="4" t="s">
        <v>55</v>
      </c>
      <c r="Z61" s="4">
        <v>52.005768585564574</v>
      </c>
      <c r="AA61" s="4">
        <v>5</v>
      </c>
      <c r="AB61" s="4"/>
      <c r="AC61" s="4"/>
      <c r="AD61" s="4"/>
      <c r="AE61" s="4"/>
      <c r="AG61" s="4" t="s">
        <v>55</v>
      </c>
      <c r="AH61" s="4">
        <v>38.296000867187118</v>
      </c>
      <c r="AI61" s="4">
        <v>5</v>
      </c>
      <c r="AJ61" s="4"/>
      <c r="AK61" s="4"/>
      <c r="AL61" s="4"/>
      <c r="AM61" s="4"/>
      <c r="AO61" s="4" t="s">
        <v>55</v>
      </c>
      <c r="AP61" s="4">
        <v>63.789318214663986</v>
      </c>
      <c r="AQ61" s="4">
        <v>5</v>
      </c>
      <c r="AR61" s="4"/>
      <c r="AS61" s="4"/>
      <c r="AT61" s="4"/>
      <c r="AU61" s="4"/>
    </row>
    <row r="63" spans="1:47" s="83" customFormat="1" ht="10" customHeight="1" x14ac:dyDescent="0.2"/>
    <row r="64" spans="1:47" ht="16" thickBot="1" x14ac:dyDescent="0.25"/>
    <row r="65" spans="1:47" ht="16" thickBot="1" x14ac:dyDescent="0.25">
      <c r="A65" s="111" t="s">
        <v>238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3"/>
      <c r="W65" s="80" t="s">
        <v>226</v>
      </c>
      <c r="Y65" t="s">
        <v>31</v>
      </c>
      <c r="AB65" s="110" t="s">
        <v>379</v>
      </c>
      <c r="AC65" s="110"/>
      <c r="AG65" t="s">
        <v>31</v>
      </c>
      <c r="AJ65" s="110" t="s">
        <v>380</v>
      </c>
      <c r="AK65" s="110"/>
      <c r="AO65" t="s">
        <v>31</v>
      </c>
      <c r="AR65" s="110" t="s">
        <v>381</v>
      </c>
      <c r="AS65" s="110"/>
    </row>
    <row r="66" spans="1:47" x14ac:dyDescent="0.2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W66" s="82"/>
    </row>
    <row r="67" spans="1:47" ht="16" thickBot="1" x14ac:dyDescent="0.25">
      <c r="B67" s="109" t="s">
        <v>173</v>
      </c>
      <c r="C67" s="109"/>
      <c r="D67" s="109"/>
      <c r="F67" s="109" t="s">
        <v>68</v>
      </c>
      <c r="G67" s="109"/>
      <c r="H67" s="109"/>
      <c r="J67" s="109" t="s">
        <v>69</v>
      </c>
      <c r="K67" s="109"/>
      <c r="L67" s="109"/>
      <c r="N67" s="109" t="s">
        <v>172</v>
      </c>
      <c r="O67" s="109"/>
      <c r="P67" s="109"/>
      <c r="R67" s="109" t="s">
        <v>230</v>
      </c>
      <c r="S67" s="109"/>
      <c r="T67" s="109"/>
      <c r="W67" s="82"/>
      <c r="Y67" t="s">
        <v>34</v>
      </c>
      <c r="AG67" t="s">
        <v>34</v>
      </c>
      <c r="AO67" t="s">
        <v>34</v>
      </c>
    </row>
    <row r="68" spans="1:47" x14ac:dyDescent="0.2">
      <c r="A68" s="12" t="s">
        <v>28</v>
      </c>
      <c r="B68" t="s">
        <v>66</v>
      </c>
      <c r="C68" t="s">
        <v>28</v>
      </c>
      <c r="D68" t="s">
        <v>30</v>
      </c>
      <c r="F68" t="s">
        <v>66</v>
      </c>
      <c r="G68" t="s">
        <v>28</v>
      </c>
      <c r="H68" t="s">
        <v>30</v>
      </c>
      <c r="J68" t="s">
        <v>66</v>
      </c>
      <c r="K68" t="s">
        <v>28</v>
      </c>
      <c r="L68" t="s">
        <v>30</v>
      </c>
      <c r="N68" t="s">
        <v>66</v>
      </c>
      <c r="O68" t="s">
        <v>28</v>
      </c>
      <c r="P68" t="s">
        <v>30</v>
      </c>
      <c r="Y68" s="3" t="s">
        <v>35</v>
      </c>
      <c r="Z68" s="3" t="s">
        <v>36</v>
      </c>
      <c r="AA68" s="3" t="s">
        <v>37</v>
      </c>
      <c r="AB68" s="3" t="s">
        <v>38</v>
      </c>
      <c r="AC68" s="3" t="s">
        <v>39</v>
      </c>
      <c r="AG68" s="3" t="s">
        <v>35</v>
      </c>
      <c r="AH68" s="3" t="s">
        <v>36</v>
      </c>
      <c r="AI68" s="3" t="s">
        <v>37</v>
      </c>
      <c r="AJ68" s="3" t="s">
        <v>38</v>
      </c>
      <c r="AK68" s="3" t="s">
        <v>39</v>
      </c>
      <c r="AO68" s="3" t="s">
        <v>35</v>
      </c>
      <c r="AP68" s="3" t="s">
        <v>36</v>
      </c>
      <c r="AQ68" s="3" t="s">
        <v>37</v>
      </c>
      <c r="AR68" s="3" t="s">
        <v>38</v>
      </c>
      <c r="AS68" s="3" t="s">
        <v>39</v>
      </c>
    </row>
    <row r="69" spans="1:47" x14ac:dyDescent="0.2">
      <c r="A69" s="80" t="s">
        <v>214</v>
      </c>
      <c r="B69">
        <v>11</v>
      </c>
      <c r="C69">
        <v>11</v>
      </c>
      <c r="D69">
        <v>10</v>
      </c>
      <c r="F69">
        <v>12</v>
      </c>
      <c r="G69">
        <v>12</v>
      </c>
      <c r="H69">
        <v>12</v>
      </c>
      <c r="J69">
        <v>12</v>
      </c>
      <c r="K69">
        <v>10</v>
      </c>
      <c r="L69">
        <v>9</v>
      </c>
      <c r="N69">
        <f t="shared" ref="N69:P71" si="18">AVERAGE(B69,F69,J69)</f>
        <v>11.666666666666666</v>
      </c>
      <c r="O69">
        <f t="shared" si="18"/>
        <v>11</v>
      </c>
      <c r="P69">
        <f t="shared" si="18"/>
        <v>10.333333333333334</v>
      </c>
      <c r="R69" t="s">
        <v>66</v>
      </c>
      <c r="S69" t="s">
        <v>28</v>
      </c>
      <c r="T69" t="s">
        <v>30</v>
      </c>
      <c r="Y69" t="s">
        <v>41</v>
      </c>
      <c r="Z69">
        <v>3</v>
      </c>
      <c r="AA69">
        <v>37.749226006191947</v>
      </c>
      <c r="AB69">
        <v>12.583075335397316</v>
      </c>
      <c r="AC69">
        <v>2.43169524612847</v>
      </c>
      <c r="AG69" t="s">
        <v>41</v>
      </c>
      <c r="AH69">
        <v>3</v>
      </c>
      <c r="AI69">
        <v>36.481283422459896</v>
      </c>
      <c r="AJ69">
        <v>12.160427807486633</v>
      </c>
      <c r="AK69">
        <v>2.9060882495924432</v>
      </c>
      <c r="AO69" t="s">
        <v>41</v>
      </c>
      <c r="AP69">
        <v>3</v>
      </c>
      <c r="AQ69">
        <v>26.185179526355995</v>
      </c>
      <c r="AR69">
        <v>8.7283931754519983</v>
      </c>
      <c r="AS69">
        <v>0.58204418568594152</v>
      </c>
    </row>
    <row r="70" spans="1:47" ht="16" thickBot="1" x14ac:dyDescent="0.25">
      <c r="A70" s="14" t="s">
        <v>122</v>
      </c>
      <c r="B70">
        <v>100</v>
      </c>
      <c r="C70">
        <v>100</v>
      </c>
      <c r="D70">
        <v>119</v>
      </c>
      <c r="F70">
        <v>95</v>
      </c>
      <c r="G70">
        <v>85</v>
      </c>
      <c r="H70">
        <v>125</v>
      </c>
      <c r="J70">
        <v>85</v>
      </c>
      <c r="K70">
        <v>88</v>
      </c>
      <c r="L70">
        <v>110</v>
      </c>
      <c r="N70">
        <f t="shared" si="18"/>
        <v>93.333333333333329</v>
      </c>
      <c r="O70">
        <f t="shared" si="18"/>
        <v>91</v>
      </c>
      <c r="P70">
        <f t="shared" si="18"/>
        <v>118</v>
      </c>
      <c r="R70">
        <f>STDEVA(B71,F71,J71)</f>
        <v>1.5593893824598364</v>
      </c>
      <c r="S70">
        <f>STDEVA(C71,G71,K71)</f>
        <v>1.704725271001883</v>
      </c>
      <c r="T70">
        <f>STDEVA(D71,H71,L71)</f>
        <v>0.76291820379772135</v>
      </c>
      <c r="U70" s="82" t="s">
        <v>63</v>
      </c>
      <c r="Y70" s="4" t="s">
        <v>42</v>
      </c>
      <c r="Z70" s="4">
        <v>3</v>
      </c>
      <c r="AA70" s="4">
        <v>25.293266862974502</v>
      </c>
      <c r="AB70" s="4">
        <v>8.4310889543248333</v>
      </c>
      <c r="AC70" s="4">
        <v>4.186096422222036</v>
      </c>
      <c r="AG70" s="4" t="s">
        <v>42</v>
      </c>
      <c r="AH70" s="4">
        <v>3</v>
      </c>
      <c r="AI70" s="4">
        <v>18.735601425939425</v>
      </c>
      <c r="AJ70" s="4">
        <v>6.2452004753131414</v>
      </c>
      <c r="AK70" s="4">
        <v>2.0548055387153923</v>
      </c>
      <c r="AO70" s="4" t="s">
        <v>42</v>
      </c>
      <c r="AP70" s="4">
        <v>3</v>
      </c>
      <c r="AQ70" s="4">
        <v>20.186920922215041</v>
      </c>
      <c r="AR70" s="4">
        <v>6.7289736407383467</v>
      </c>
      <c r="AS70" s="4">
        <v>1.8138225627103523E-2</v>
      </c>
    </row>
    <row r="71" spans="1:47" x14ac:dyDescent="0.2">
      <c r="A71" t="s">
        <v>227</v>
      </c>
      <c r="B71">
        <f>(B69/B70)*100</f>
        <v>11</v>
      </c>
      <c r="C71">
        <f t="shared" ref="C71:D71" si="19">(C69/C70)*100</f>
        <v>11</v>
      </c>
      <c r="D71">
        <f t="shared" si="19"/>
        <v>8.4033613445378155</v>
      </c>
      <c r="F71">
        <f>(F69/F70)*100</f>
        <v>12.631578947368421</v>
      </c>
      <c r="G71">
        <f t="shared" ref="G71:H71" si="20">(G69/G70)*100</f>
        <v>14.117647058823529</v>
      </c>
      <c r="H71">
        <f t="shared" si="20"/>
        <v>9.6</v>
      </c>
      <c r="J71">
        <f>(J69/J70)*100</f>
        <v>14.117647058823529</v>
      </c>
      <c r="K71">
        <f t="shared" ref="K71:L71" si="21">(K69/K70)*100</f>
        <v>11.363636363636363</v>
      </c>
      <c r="L71">
        <f t="shared" si="21"/>
        <v>8.1818181818181817</v>
      </c>
      <c r="N71">
        <f t="shared" si="18"/>
        <v>12.583075335397316</v>
      </c>
      <c r="O71">
        <f t="shared" si="18"/>
        <v>12.160427807486633</v>
      </c>
      <c r="P71">
        <f>AVERAGE(D71,H71,L71)</f>
        <v>8.7283931754519983</v>
      </c>
      <c r="R71">
        <f>R70/(SQRT(3))</f>
        <v>0.90031387973463084</v>
      </c>
      <c r="S71">
        <f t="shared" ref="S71" si="22">S70/(SQRT(3))</f>
        <v>0.98422359410729487</v>
      </c>
      <c r="T71">
        <f t="shared" ref="T71" si="23">T70/(SQRT(3))</f>
        <v>0.44047103033228019</v>
      </c>
      <c r="U71" s="82" t="s">
        <v>59</v>
      </c>
    </row>
    <row r="72" spans="1:47" x14ac:dyDescent="0.2">
      <c r="A72" s="14"/>
      <c r="W72" s="82"/>
    </row>
    <row r="73" spans="1:47" ht="16" thickBot="1" x14ac:dyDescent="0.25">
      <c r="A73" s="12" t="s">
        <v>28</v>
      </c>
      <c r="B73" t="s">
        <v>66</v>
      </c>
      <c r="C73" t="s">
        <v>28</v>
      </c>
      <c r="D73" t="s">
        <v>30</v>
      </c>
      <c r="F73" t="s">
        <v>66</v>
      </c>
      <c r="G73" t="s">
        <v>28</v>
      </c>
      <c r="H73" t="s">
        <v>30</v>
      </c>
      <c r="J73" t="s">
        <v>66</v>
      </c>
      <c r="K73" t="s">
        <v>28</v>
      </c>
      <c r="L73" t="s">
        <v>30</v>
      </c>
      <c r="N73" t="s">
        <v>66</v>
      </c>
      <c r="O73" t="s">
        <v>28</v>
      </c>
      <c r="P73" t="s">
        <v>30</v>
      </c>
      <c r="W73" s="82"/>
      <c r="Y73" t="s">
        <v>44</v>
      </c>
      <c r="AG73" t="s">
        <v>44</v>
      </c>
      <c r="AO73" t="s">
        <v>44</v>
      </c>
    </row>
    <row r="74" spans="1:47" x14ac:dyDescent="0.2">
      <c r="A74" s="80" t="s">
        <v>215</v>
      </c>
      <c r="B74">
        <v>10</v>
      </c>
      <c r="C74">
        <v>10</v>
      </c>
      <c r="D74">
        <v>12</v>
      </c>
      <c r="F74">
        <v>12</v>
      </c>
      <c r="G74">
        <v>12</v>
      </c>
      <c r="H74">
        <v>16</v>
      </c>
      <c r="J74">
        <v>12</v>
      </c>
      <c r="K74">
        <v>11</v>
      </c>
      <c r="L74">
        <v>13</v>
      </c>
      <c r="N74">
        <f t="shared" ref="N74:P76" si="24">AVERAGE(B74,F74,J74)</f>
        <v>11.333333333333334</v>
      </c>
      <c r="O74">
        <f t="shared" si="24"/>
        <v>11</v>
      </c>
      <c r="P74">
        <f t="shared" si="24"/>
        <v>13.666666666666666</v>
      </c>
      <c r="R74" t="s">
        <v>66</v>
      </c>
      <c r="S74" t="s">
        <v>28</v>
      </c>
      <c r="T74" t="s">
        <v>30</v>
      </c>
      <c r="Y74" s="3" t="s">
        <v>45</v>
      </c>
      <c r="Z74" s="3" t="s">
        <v>46</v>
      </c>
      <c r="AA74" s="3" t="s">
        <v>47</v>
      </c>
      <c r="AB74" s="3" t="s">
        <v>48</v>
      </c>
      <c r="AC74" s="3" t="s">
        <v>49</v>
      </c>
      <c r="AD74" s="3" t="s">
        <v>50</v>
      </c>
      <c r="AE74" s="3" t="s">
        <v>51</v>
      </c>
      <c r="AG74" s="3" t="s">
        <v>45</v>
      </c>
      <c r="AH74" s="3" t="s">
        <v>46</v>
      </c>
      <c r="AI74" s="3" t="s">
        <v>47</v>
      </c>
      <c r="AJ74" s="3" t="s">
        <v>48</v>
      </c>
      <c r="AK74" s="3" t="s">
        <v>49</v>
      </c>
      <c r="AL74" s="3" t="s">
        <v>50</v>
      </c>
      <c r="AM74" s="3" t="s">
        <v>51</v>
      </c>
      <c r="AO74" s="3" t="s">
        <v>45</v>
      </c>
      <c r="AP74" s="3" t="s">
        <v>46</v>
      </c>
      <c r="AQ74" s="3" t="s">
        <v>47</v>
      </c>
      <c r="AR74" s="3" t="s">
        <v>48</v>
      </c>
      <c r="AS74" s="3" t="s">
        <v>49</v>
      </c>
      <c r="AT74" s="3" t="s">
        <v>50</v>
      </c>
      <c r="AU74" s="3" t="s">
        <v>51</v>
      </c>
    </row>
    <row r="75" spans="1:47" x14ac:dyDescent="0.2">
      <c r="A75" s="14" t="s">
        <v>122</v>
      </c>
      <c r="B75">
        <v>100</v>
      </c>
      <c r="C75">
        <v>100</v>
      </c>
      <c r="D75">
        <v>119</v>
      </c>
      <c r="F75">
        <v>95</v>
      </c>
      <c r="G75">
        <v>85</v>
      </c>
      <c r="H75">
        <v>125</v>
      </c>
      <c r="J75">
        <v>85</v>
      </c>
      <c r="K75">
        <v>88</v>
      </c>
      <c r="L75">
        <v>110</v>
      </c>
      <c r="N75">
        <f t="shared" si="24"/>
        <v>93.333333333333329</v>
      </c>
      <c r="O75">
        <f t="shared" si="24"/>
        <v>91</v>
      </c>
      <c r="P75">
        <f t="shared" si="24"/>
        <v>118</v>
      </c>
      <c r="R75">
        <f>STDEVA(B76,F76,J76)</f>
        <v>2.0852107602971786</v>
      </c>
      <c r="S75">
        <f>STDEVA(C76,G76,K76)</f>
        <v>2.074519997009689</v>
      </c>
      <c r="T75">
        <f>STDEVA(D76,H76,L76)</f>
        <v>1.3752400003292733</v>
      </c>
      <c r="U75" s="82" t="s">
        <v>63</v>
      </c>
      <c r="Y75" t="s">
        <v>52</v>
      </c>
      <c r="Z75">
        <v>25.858486362917063</v>
      </c>
      <c r="AA75">
        <v>1</v>
      </c>
      <c r="AB75">
        <v>25.858486362917063</v>
      </c>
      <c r="AC75">
        <v>7.8148384412235314</v>
      </c>
      <c r="AD75">
        <v>4.9035879683562891E-2</v>
      </c>
      <c r="AE75">
        <v>7.708647422176786</v>
      </c>
      <c r="AG75" t="s">
        <v>52</v>
      </c>
      <c r="AH75">
        <v>52.484871586938432</v>
      </c>
      <c r="AI75">
        <v>1</v>
      </c>
      <c r="AJ75">
        <v>52.484871586938432</v>
      </c>
      <c r="AK75">
        <v>21.159441756498712</v>
      </c>
      <c r="AL75">
        <v>1.0031351824431349E-2</v>
      </c>
      <c r="AM75">
        <v>7.708647422176786</v>
      </c>
      <c r="AO75" t="s">
        <v>52</v>
      </c>
      <c r="AP75">
        <v>5.9965177136918344</v>
      </c>
      <c r="AQ75">
        <v>1</v>
      </c>
      <c r="AR75">
        <v>5.9965177136918344</v>
      </c>
      <c r="AS75">
        <v>19.982317377721859</v>
      </c>
      <c r="AT75">
        <v>1.1073327148384124E-2</v>
      </c>
      <c r="AU75">
        <v>7.708647422176786</v>
      </c>
    </row>
    <row r="76" spans="1:47" x14ac:dyDescent="0.2">
      <c r="A76" t="s">
        <v>228</v>
      </c>
      <c r="B76">
        <f>(B74/B75)*100</f>
        <v>10</v>
      </c>
      <c r="C76">
        <f t="shared" ref="C76:D76" si="25">(C74/C75)*100</f>
        <v>10</v>
      </c>
      <c r="D76">
        <f t="shared" si="25"/>
        <v>10.084033613445378</v>
      </c>
      <c r="F76">
        <f>(F74/F75)*100</f>
        <v>12.631578947368421</v>
      </c>
      <c r="G76">
        <f t="shared" ref="G76:H76" si="26">(G74/G75)*100</f>
        <v>14.117647058823529</v>
      </c>
      <c r="H76">
        <f t="shared" si="26"/>
        <v>12.8</v>
      </c>
      <c r="J76">
        <f>(J74/J75)*100</f>
        <v>14.117647058823529</v>
      </c>
      <c r="K76">
        <f t="shared" ref="K76:L76" si="27">(K74/K75)*100</f>
        <v>12.5</v>
      </c>
      <c r="L76">
        <f t="shared" si="27"/>
        <v>11.818181818181818</v>
      </c>
      <c r="N76">
        <f t="shared" si="24"/>
        <v>12.249742002063982</v>
      </c>
      <c r="O76">
        <f t="shared" si="24"/>
        <v>12.205882352941176</v>
      </c>
      <c r="P76">
        <f t="shared" si="24"/>
        <v>11.567405143875732</v>
      </c>
      <c r="R76">
        <f>R75/(SQRT(3))</f>
        <v>1.2038969937746804</v>
      </c>
      <c r="S76">
        <f t="shared" ref="S76" si="28">S75/(SQRT(3))</f>
        <v>1.1977246787128057</v>
      </c>
      <c r="T76">
        <f t="shared" ref="T76" si="29">T75/(SQRT(3))</f>
        <v>0.79399518439044703</v>
      </c>
      <c r="U76" s="82" t="s">
        <v>59</v>
      </c>
      <c r="Y76" t="s">
        <v>53</v>
      </c>
      <c r="Z76">
        <v>13.235583336700957</v>
      </c>
      <c r="AA76">
        <v>4</v>
      </c>
      <c r="AB76">
        <v>3.3088958341752392</v>
      </c>
      <c r="AG76" t="s">
        <v>53</v>
      </c>
      <c r="AH76">
        <v>9.9217875766157633</v>
      </c>
      <c r="AI76">
        <v>4</v>
      </c>
      <c r="AJ76">
        <v>2.4804468941539408</v>
      </c>
      <c r="AO76" t="s">
        <v>53</v>
      </c>
      <c r="AP76">
        <v>1.2003648226260901</v>
      </c>
      <c r="AQ76">
        <v>4</v>
      </c>
      <c r="AR76">
        <v>0.30009120565652253</v>
      </c>
    </row>
    <row r="77" spans="1:47" x14ac:dyDescent="0.2">
      <c r="W77" s="82"/>
    </row>
    <row r="78" spans="1:47" ht="16" thickBot="1" x14ac:dyDescent="0.25">
      <c r="A78" s="12" t="s">
        <v>236</v>
      </c>
      <c r="B78" s="109" t="s">
        <v>173</v>
      </c>
      <c r="C78" s="109"/>
      <c r="D78" s="109"/>
      <c r="F78" s="109" t="s">
        <v>68</v>
      </c>
      <c r="G78" s="109"/>
      <c r="H78" s="109"/>
      <c r="J78" s="109" t="s">
        <v>69</v>
      </c>
      <c r="K78" s="109"/>
      <c r="L78" s="109"/>
      <c r="N78" s="109" t="s">
        <v>172</v>
      </c>
      <c r="O78" s="109"/>
      <c r="P78" s="109"/>
      <c r="R78" s="109" t="s">
        <v>237</v>
      </c>
      <c r="S78" s="109"/>
      <c r="T78" s="109"/>
      <c r="Y78" s="4" t="s">
        <v>55</v>
      </c>
      <c r="Z78" s="4">
        <v>39.094069699618018</v>
      </c>
      <c r="AA78" s="4">
        <v>5</v>
      </c>
      <c r="AB78" s="4"/>
      <c r="AC78" s="4"/>
      <c r="AD78" s="4"/>
      <c r="AE78" s="4"/>
      <c r="AG78" s="4" t="s">
        <v>55</v>
      </c>
      <c r="AH78" s="4">
        <v>62.406659163554195</v>
      </c>
      <c r="AI78" s="4">
        <v>5</v>
      </c>
      <c r="AJ78" s="4"/>
      <c r="AK78" s="4"/>
      <c r="AL78" s="4"/>
      <c r="AM78" s="4"/>
      <c r="AO78" s="4" t="s">
        <v>55</v>
      </c>
      <c r="AP78" s="4">
        <v>7.1968825363179247</v>
      </c>
      <c r="AQ78" s="4">
        <v>5</v>
      </c>
      <c r="AR78" s="4"/>
      <c r="AS78" s="4"/>
      <c r="AT78" s="4"/>
      <c r="AU78" s="4"/>
    </row>
    <row r="79" spans="1:47" x14ac:dyDescent="0.2">
      <c r="A79" s="80" t="s">
        <v>214</v>
      </c>
      <c r="B79" t="s">
        <v>66</v>
      </c>
      <c r="C79" t="s">
        <v>28</v>
      </c>
      <c r="D79" t="s">
        <v>30</v>
      </c>
      <c r="F79" t="s">
        <v>66</v>
      </c>
      <c r="G79" t="s">
        <v>28</v>
      </c>
      <c r="H79" t="s">
        <v>30</v>
      </c>
      <c r="J79" t="s">
        <v>66</v>
      </c>
      <c r="K79" t="s">
        <v>28</v>
      </c>
      <c r="L79" t="s">
        <v>30</v>
      </c>
      <c r="N79" t="s">
        <v>66</v>
      </c>
      <c r="O79" t="s">
        <v>28</v>
      </c>
      <c r="P79" t="s">
        <v>30</v>
      </c>
    </row>
    <row r="80" spans="1:47" x14ac:dyDescent="0.2">
      <c r="A80" s="14" t="s">
        <v>122</v>
      </c>
      <c r="B80">
        <v>12</v>
      </c>
      <c r="C80">
        <v>7</v>
      </c>
      <c r="D80">
        <v>7</v>
      </c>
      <c r="F80">
        <v>9</v>
      </c>
      <c r="G80">
        <v>8</v>
      </c>
      <c r="H80">
        <v>7</v>
      </c>
      <c r="J80">
        <v>5</v>
      </c>
      <c r="K80">
        <v>4</v>
      </c>
      <c r="L80">
        <v>6</v>
      </c>
      <c r="N80">
        <f t="shared" ref="N80:P82" si="30">AVERAGE(B80,F80,J80)</f>
        <v>8.6666666666666661</v>
      </c>
      <c r="O80">
        <f t="shared" si="30"/>
        <v>6.333333333333333</v>
      </c>
      <c r="P80">
        <f t="shared" si="30"/>
        <v>6.666666666666667</v>
      </c>
      <c r="R80" t="s">
        <v>66</v>
      </c>
      <c r="S80" t="s">
        <v>28</v>
      </c>
      <c r="T80" t="s">
        <v>30</v>
      </c>
    </row>
    <row r="81" spans="1:47" x14ac:dyDescent="0.2">
      <c r="A81" t="s">
        <v>227</v>
      </c>
      <c r="B81">
        <v>121</v>
      </c>
      <c r="C81">
        <v>101</v>
      </c>
      <c r="D81">
        <v>104</v>
      </c>
      <c r="F81">
        <v>97</v>
      </c>
      <c r="G81">
        <v>111</v>
      </c>
      <c r="H81">
        <v>102</v>
      </c>
      <c r="J81">
        <v>82</v>
      </c>
      <c r="K81">
        <v>87</v>
      </c>
      <c r="L81">
        <v>91</v>
      </c>
      <c r="N81">
        <f t="shared" si="30"/>
        <v>100</v>
      </c>
      <c r="O81">
        <f t="shared" si="30"/>
        <v>99.666666666666671</v>
      </c>
      <c r="P81">
        <f t="shared" si="30"/>
        <v>99</v>
      </c>
      <c r="R81">
        <f>STDEVA(B82,F82,J82)</f>
        <v>2.0459952155911889</v>
      </c>
      <c r="S81">
        <f>STDEVA(C82,G82,K82)</f>
        <v>1.4334592909166943</v>
      </c>
      <c r="T81">
        <f>STDEVA(D82,H82,L82)</f>
        <v>0.13467822996722048</v>
      </c>
      <c r="U81" s="82" t="s">
        <v>63</v>
      </c>
      <c r="W81" s="80" t="s">
        <v>225</v>
      </c>
      <c r="Y81" t="s">
        <v>31</v>
      </c>
      <c r="AB81" s="110" t="s">
        <v>379</v>
      </c>
      <c r="AC81" s="110"/>
      <c r="AG81" t="s">
        <v>31</v>
      </c>
      <c r="AJ81" s="110" t="s">
        <v>380</v>
      </c>
      <c r="AK81" s="110"/>
      <c r="AO81" t="s">
        <v>31</v>
      </c>
      <c r="AR81" s="110" t="s">
        <v>381</v>
      </c>
      <c r="AS81" s="110"/>
    </row>
    <row r="82" spans="1:47" x14ac:dyDescent="0.2">
      <c r="B82">
        <f>(B80/B81)*100</f>
        <v>9.9173553719008272</v>
      </c>
      <c r="C82">
        <f t="shared" ref="C82:D82" si="31">(C80/C81)*100</f>
        <v>6.9306930693069315</v>
      </c>
      <c r="D82">
        <f t="shared" si="31"/>
        <v>6.7307692307692308</v>
      </c>
      <c r="F82">
        <f>(F80/F81)*100</f>
        <v>9.2783505154639183</v>
      </c>
      <c r="G82">
        <f t="shared" ref="G82:H82" si="32">(G80/G81)*100</f>
        <v>7.2072072072072073</v>
      </c>
      <c r="H82">
        <f t="shared" si="32"/>
        <v>6.8627450980392162</v>
      </c>
      <c r="J82">
        <f>(J80/J81)*100</f>
        <v>6.0975609756097562</v>
      </c>
      <c r="K82">
        <f t="shared" ref="K82:L82" si="33">(K80/K81)*100</f>
        <v>4.5977011494252871</v>
      </c>
      <c r="L82">
        <f t="shared" si="33"/>
        <v>6.593406593406594</v>
      </c>
      <c r="N82">
        <f t="shared" si="30"/>
        <v>8.4310889543248333</v>
      </c>
      <c r="O82">
        <f t="shared" si="30"/>
        <v>6.2452004753131414</v>
      </c>
      <c r="P82">
        <f>AVERAGE(D82,H82,L82)</f>
        <v>6.7289736407383467</v>
      </c>
      <c r="R82">
        <f>R81/(SQRT(3))</f>
        <v>1.1812558884822595</v>
      </c>
      <c r="S82">
        <f t="shared" ref="S82" si="34">S81/(SQRT(3))</f>
        <v>0.82760810748312363</v>
      </c>
      <c r="T82">
        <f t="shared" ref="T82" si="35">T81/(SQRT(3))</f>
        <v>7.7756512325557067E-2</v>
      </c>
      <c r="U82" s="82" t="s">
        <v>59</v>
      </c>
    </row>
    <row r="83" spans="1:47" ht="16" thickBot="1" x14ac:dyDescent="0.25">
      <c r="Y83" t="s">
        <v>34</v>
      </c>
      <c r="AG83" t="s">
        <v>34</v>
      </c>
      <c r="AO83" t="s">
        <v>34</v>
      </c>
    </row>
    <row r="84" spans="1:47" x14ac:dyDescent="0.2">
      <c r="A84" s="12" t="s">
        <v>236</v>
      </c>
      <c r="B84" t="s">
        <v>66</v>
      </c>
      <c r="C84" t="s">
        <v>28</v>
      </c>
      <c r="D84" t="s">
        <v>30</v>
      </c>
      <c r="F84" t="s">
        <v>66</v>
      </c>
      <c r="G84" t="s">
        <v>28</v>
      </c>
      <c r="H84" t="s">
        <v>30</v>
      </c>
      <c r="J84" t="s">
        <v>66</v>
      </c>
      <c r="K84" t="s">
        <v>28</v>
      </c>
      <c r="L84" t="s">
        <v>30</v>
      </c>
      <c r="N84" t="s">
        <v>66</v>
      </c>
      <c r="O84" t="s">
        <v>28</v>
      </c>
      <c r="P84" t="s">
        <v>30</v>
      </c>
      <c r="Y84" s="3" t="s">
        <v>35</v>
      </c>
      <c r="Z84" s="3" t="s">
        <v>36</v>
      </c>
      <c r="AA84" s="3" t="s">
        <v>37</v>
      </c>
      <c r="AB84" s="3" t="s">
        <v>38</v>
      </c>
      <c r="AC84" s="3" t="s">
        <v>39</v>
      </c>
      <c r="AG84" s="3" t="s">
        <v>35</v>
      </c>
      <c r="AH84" s="3" t="s">
        <v>36</v>
      </c>
      <c r="AI84" s="3" t="s">
        <v>37</v>
      </c>
      <c r="AJ84" s="3" t="s">
        <v>38</v>
      </c>
      <c r="AK84" s="3" t="s">
        <v>39</v>
      </c>
      <c r="AO84" s="3" t="s">
        <v>35</v>
      </c>
      <c r="AP84" s="3" t="s">
        <v>36</v>
      </c>
      <c r="AQ84" s="3" t="s">
        <v>37</v>
      </c>
      <c r="AR84" s="3" t="s">
        <v>38</v>
      </c>
      <c r="AS84" s="3" t="s">
        <v>39</v>
      </c>
    </row>
    <row r="85" spans="1:47" x14ac:dyDescent="0.2">
      <c r="A85" s="80" t="s">
        <v>215</v>
      </c>
      <c r="B85">
        <v>15</v>
      </c>
      <c r="C85">
        <v>11</v>
      </c>
      <c r="D85">
        <v>13</v>
      </c>
      <c r="F85">
        <v>12</v>
      </c>
      <c r="G85">
        <v>12</v>
      </c>
      <c r="H85">
        <v>15</v>
      </c>
      <c r="J85">
        <v>8</v>
      </c>
      <c r="K85">
        <v>8</v>
      </c>
      <c r="L85">
        <v>10</v>
      </c>
      <c r="N85">
        <f t="shared" ref="N85:P87" si="36">AVERAGE(B85,F85,J85)</f>
        <v>11.666666666666666</v>
      </c>
      <c r="O85">
        <f t="shared" si="36"/>
        <v>10.333333333333334</v>
      </c>
      <c r="P85">
        <f t="shared" si="36"/>
        <v>12.666666666666666</v>
      </c>
      <c r="R85" t="s">
        <v>66</v>
      </c>
      <c r="S85" t="s">
        <v>28</v>
      </c>
      <c r="T85" t="s">
        <v>30</v>
      </c>
      <c r="Y85" t="s">
        <v>41</v>
      </c>
      <c r="Z85">
        <v>3</v>
      </c>
      <c r="AA85">
        <v>36.749226006191947</v>
      </c>
      <c r="AB85">
        <v>12.249742002063982</v>
      </c>
      <c r="AC85">
        <v>4.3481039148591378</v>
      </c>
      <c r="AG85" t="s">
        <v>41</v>
      </c>
      <c r="AH85">
        <v>3</v>
      </c>
      <c r="AI85">
        <v>36.617647058823529</v>
      </c>
      <c r="AJ85">
        <v>12.205882352941176</v>
      </c>
      <c r="AK85">
        <v>4.303633217993081</v>
      </c>
      <c r="AO85" t="s">
        <v>41</v>
      </c>
      <c r="AP85">
        <v>3</v>
      </c>
      <c r="AQ85">
        <v>34.702215431627195</v>
      </c>
      <c r="AR85">
        <v>11.567405143875732</v>
      </c>
      <c r="AS85">
        <v>1.8912850585056595</v>
      </c>
    </row>
    <row r="86" spans="1:47" ht="16" thickBot="1" x14ac:dyDescent="0.25">
      <c r="A86" s="14" t="s">
        <v>122</v>
      </c>
      <c r="B86">
        <v>121</v>
      </c>
      <c r="C86">
        <v>101</v>
      </c>
      <c r="D86">
        <v>104</v>
      </c>
      <c r="F86">
        <v>97</v>
      </c>
      <c r="G86">
        <v>111</v>
      </c>
      <c r="H86">
        <v>102</v>
      </c>
      <c r="J86">
        <v>82</v>
      </c>
      <c r="K86">
        <v>87</v>
      </c>
      <c r="L86">
        <v>91</v>
      </c>
      <c r="N86">
        <f t="shared" si="36"/>
        <v>100</v>
      </c>
      <c r="O86">
        <f t="shared" si="36"/>
        <v>99.666666666666671</v>
      </c>
      <c r="P86">
        <f t="shared" si="36"/>
        <v>99</v>
      </c>
      <c r="R86">
        <f>STDEVA(B87,F87,J87)</f>
        <v>1.5172244229393681</v>
      </c>
      <c r="S86">
        <f>STDEVA(C87,G87,K87)</f>
        <v>0.95667331793320531</v>
      </c>
      <c r="T86">
        <f>STDEVA(D87,H87,L87)</f>
        <v>1.8692305672990663</v>
      </c>
      <c r="U86" s="82" t="s">
        <v>63</v>
      </c>
      <c r="Y86" s="4" t="s">
        <v>42</v>
      </c>
      <c r="Z86" s="4">
        <v>3</v>
      </c>
      <c r="AA86" s="4">
        <v>34.523925796470202</v>
      </c>
      <c r="AB86" s="4">
        <v>11.507975265490067</v>
      </c>
      <c r="AC86" s="4">
        <v>2.3019699495636985</v>
      </c>
      <c r="AG86" s="4" t="s">
        <v>42</v>
      </c>
      <c r="AH86" s="4">
        <v>3</v>
      </c>
      <c r="AI86" s="4">
        <v>30.897302218572278</v>
      </c>
      <c r="AJ86" s="4">
        <v>10.299100739524093</v>
      </c>
      <c r="AK86" s="4">
        <v>0.91522383724532774</v>
      </c>
      <c r="AO86" s="4" t="s">
        <v>42</v>
      </c>
      <c r="AP86" s="4">
        <v>3</v>
      </c>
      <c r="AQ86" s="4">
        <v>38.194893341952167</v>
      </c>
      <c r="AR86" s="4">
        <v>12.731631113984056</v>
      </c>
      <c r="AS86" s="4">
        <v>3.494022913725189</v>
      </c>
    </row>
    <row r="87" spans="1:47" x14ac:dyDescent="0.2">
      <c r="A87" t="s">
        <v>228</v>
      </c>
      <c r="B87">
        <f>(B85/B86)*100</f>
        <v>12.396694214876034</v>
      </c>
      <c r="C87">
        <f t="shared" ref="C87:D87" si="37">(C85/C86)*100</f>
        <v>10.891089108910892</v>
      </c>
      <c r="D87">
        <f t="shared" si="37"/>
        <v>12.5</v>
      </c>
      <c r="F87">
        <f>(F85/F86)*100</f>
        <v>12.371134020618557</v>
      </c>
      <c r="G87">
        <f t="shared" ref="G87:H87" si="38">(G85/G86)*100</f>
        <v>10.810810810810811</v>
      </c>
      <c r="H87">
        <f t="shared" si="38"/>
        <v>14.705882352941178</v>
      </c>
      <c r="J87">
        <f>(J85/J86)*100</f>
        <v>9.7560975609756095</v>
      </c>
      <c r="K87">
        <f t="shared" ref="K87:L87" si="39">(K85/K86)*100</f>
        <v>9.1954022988505741</v>
      </c>
      <c r="L87">
        <f t="shared" si="39"/>
        <v>10.989010989010989</v>
      </c>
      <c r="N87">
        <f t="shared" si="36"/>
        <v>11.507975265490067</v>
      </c>
      <c r="O87">
        <f t="shared" si="36"/>
        <v>10.299100739524093</v>
      </c>
      <c r="P87">
        <f t="shared" si="36"/>
        <v>12.731631113984056</v>
      </c>
      <c r="R87">
        <f>R86/(SQRT(3))</f>
        <v>0.87596992900511883</v>
      </c>
      <c r="S87">
        <f t="shared" ref="S87:T87" si="40">S86/(SQRT(3))</f>
        <v>0.55233559763526852</v>
      </c>
      <c r="T87">
        <f t="shared" si="40"/>
        <v>1.0792007712075928</v>
      </c>
      <c r="U87" s="82" t="s">
        <v>59</v>
      </c>
    </row>
    <row r="89" spans="1:47" ht="16" thickBot="1" x14ac:dyDescent="0.25">
      <c r="Y89" t="s">
        <v>44</v>
      </c>
      <c r="AG89" t="s">
        <v>44</v>
      </c>
      <c r="AO89" t="s">
        <v>44</v>
      </c>
    </row>
    <row r="90" spans="1:47" x14ac:dyDescent="0.2">
      <c r="Y90" s="3" t="s">
        <v>45</v>
      </c>
      <c r="Z90" s="3" t="s">
        <v>46</v>
      </c>
      <c r="AA90" s="3" t="s">
        <v>47</v>
      </c>
      <c r="AB90" s="3" t="s">
        <v>48</v>
      </c>
      <c r="AC90" s="3" t="s">
        <v>49</v>
      </c>
      <c r="AD90" s="3" t="s">
        <v>50</v>
      </c>
      <c r="AE90" s="3" t="s">
        <v>51</v>
      </c>
      <c r="AG90" s="3" t="s">
        <v>45</v>
      </c>
      <c r="AH90" s="3" t="s">
        <v>46</v>
      </c>
      <c r="AI90" s="3" t="s">
        <v>47</v>
      </c>
      <c r="AJ90" s="3" t="s">
        <v>48</v>
      </c>
      <c r="AK90" s="3" t="s">
        <v>49</v>
      </c>
      <c r="AL90" s="3" t="s">
        <v>50</v>
      </c>
      <c r="AM90" s="3" t="s">
        <v>51</v>
      </c>
      <c r="AO90" s="3" t="s">
        <v>45</v>
      </c>
      <c r="AP90" s="3" t="s">
        <v>46</v>
      </c>
      <c r="AQ90" s="3" t="s">
        <v>47</v>
      </c>
      <c r="AR90" s="3" t="s">
        <v>48</v>
      </c>
      <c r="AS90" s="3" t="s">
        <v>49</v>
      </c>
      <c r="AT90" s="3" t="s">
        <v>50</v>
      </c>
      <c r="AU90" s="3" t="s">
        <v>51</v>
      </c>
    </row>
    <row r="91" spans="1:47" x14ac:dyDescent="0.2">
      <c r="Y91" t="s">
        <v>52</v>
      </c>
      <c r="Z91">
        <v>0.82532683723127676</v>
      </c>
      <c r="AA91">
        <v>1</v>
      </c>
      <c r="AB91">
        <v>0.82532683723127676</v>
      </c>
      <c r="AC91">
        <v>0.2482158406229695</v>
      </c>
      <c r="AD91">
        <v>0.64448256043714802</v>
      </c>
      <c r="AE91">
        <v>7.708647422176786</v>
      </c>
      <c r="AG91" t="s">
        <v>52</v>
      </c>
      <c r="AH91">
        <v>5.4537241818981883</v>
      </c>
      <c r="AI91">
        <v>1</v>
      </c>
      <c r="AJ91">
        <v>5.4537241818981883</v>
      </c>
      <c r="AK91">
        <v>2.0900071123519415</v>
      </c>
      <c r="AL91">
        <v>0.22179129285220822</v>
      </c>
      <c r="AM91">
        <v>7.708647422176786</v>
      </c>
      <c r="AO91" t="s">
        <v>52</v>
      </c>
      <c r="AP91">
        <v>2.0331331642119981</v>
      </c>
      <c r="AQ91">
        <v>1</v>
      </c>
      <c r="AR91">
        <v>2.0331331642119981</v>
      </c>
      <c r="AS91">
        <v>0.75506662745966591</v>
      </c>
      <c r="AT91">
        <v>0.43390754714462132</v>
      </c>
      <c r="AU91">
        <v>7.708647422176786</v>
      </c>
    </row>
    <row r="92" spans="1:47" x14ac:dyDescent="0.2">
      <c r="R92" s="114" t="s">
        <v>60</v>
      </c>
      <c r="S92" s="114"/>
      <c r="Y92" t="s">
        <v>53</v>
      </c>
      <c r="Z92">
        <v>13.300147728845671</v>
      </c>
      <c r="AA92">
        <v>4</v>
      </c>
      <c r="AB92">
        <v>3.3250369322114177</v>
      </c>
      <c r="AG92" t="s">
        <v>53</v>
      </c>
      <c r="AH92">
        <v>10.437714110476811</v>
      </c>
      <c r="AI92">
        <v>4</v>
      </c>
      <c r="AJ92">
        <v>2.6094285276192029</v>
      </c>
      <c r="AO92" t="s">
        <v>53</v>
      </c>
      <c r="AP92">
        <v>10.77061594446169</v>
      </c>
      <c r="AQ92">
        <v>4</v>
      </c>
      <c r="AR92">
        <v>2.6926539861154226</v>
      </c>
    </row>
    <row r="93" spans="1:47" x14ac:dyDescent="0.2">
      <c r="R93" s="11" t="s">
        <v>54</v>
      </c>
      <c r="S93" s="12"/>
    </row>
    <row r="94" spans="1:47" ht="16" thickBot="1" x14ac:dyDescent="0.25">
      <c r="Y94" s="4" t="s">
        <v>55</v>
      </c>
      <c r="Z94" s="4">
        <v>14.125474566076948</v>
      </c>
      <c r="AA94" s="4">
        <v>5</v>
      </c>
      <c r="AB94" s="4"/>
      <c r="AC94" s="4"/>
      <c r="AD94" s="4"/>
      <c r="AE94" s="4"/>
      <c r="AG94" s="4" t="s">
        <v>55</v>
      </c>
      <c r="AH94" s="4">
        <v>15.891438292375</v>
      </c>
      <c r="AI94" s="4">
        <v>5</v>
      </c>
      <c r="AJ94" s="4"/>
      <c r="AK94" s="4"/>
      <c r="AL94" s="4"/>
      <c r="AM94" s="4"/>
      <c r="AO94" s="4" t="s">
        <v>55</v>
      </c>
      <c r="AP94" s="4">
        <v>12.803749108673689</v>
      </c>
      <c r="AQ94" s="4">
        <v>5</v>
      </c>
      <c r="AR94" s="4"/>
      <c r="AS94" s="4"/>
      <c r="AT94" s="4"/>
      <c r="AU94" s="4"/>
    </row>
    <row r="97" spans="23:47" x14ac:dyDescent="0.2">
      <c r="W97" s="80" t="s">
        <v>226</v>
      </c>
      <c r="Y97" t="s">
        <v>31</v>
      </c>
      <c r="AB97" s="110" t="s">
        <v>382</v>
      </c>
      <c r="AC97" s="110"/>
      <c r="AG97" t="s">
        <v>31</v>
      </c>
      <c r="AJ97" s="110" t="s">
        <v>384</v>
      </c>
      <c r="AK97" s="110"/>
      <c r="AO97" t="s">
        <v>31</v>
      </c>
      <c r="AR97" s="110" t="s">
        <v>383</v>
      </c>
      <c r="AS97" s="110"/>
    </row>
    <row r="99" spans="23:47" ht="16" thickBot="1" x14ac:dyDescent="0.25">
      <c r="Y99" t="s">
        <v>34</v>
      </c>
      <c r="AG99" t="s">
        <v>34</v>
      </c>
      <c r="AO99" t="s">
        <v>34</v>
      </c>
    </row>
    <row r="100" spans="23:47" x14ac:dyDescent="0.2">
      <c r="Y100" s="3" t="s">
        <v>35</v>
      </c>
      <c r="Z100" s="3" t="s">
        <v>36</v>
      </c>
      <c r="AA100" s="3" t="s">
        <v>37</v>
      </c>
      <c r="AB100" s="3" t="s">
        <v>38</v>
      </c>
      <c r="AC100" s="3" t="s">
        <v>39</v>
      </c>
      <c r="AG100" s="3" t="s">
        <v>35</v>
      </c>
      <c r="AH100" s="3" t="s">
        <v>36</v>
      </c>
      <c r="AI100" s="3" t="s">
        <v>37</v>
      </c>
      <c r="AJ100" s="3" t="s">
        <v>38</v>
      </c>
      <c r="AK100" s="3" t="s">
        <v>39</v>
      </c>
      <c r="AO100" s="3" t="s">
        <v>35</v>
      </c>
      <c r="AP100" s="3" t="s">
        <v>36</v>
      </c>
      <c r="AQ100" s="3" t="s">
        <v>37</v>
      </c>
      <c r="AR100" s="3" t="s">
        <v>38</v>
      </c>
      <c r="AS100" s="3" t="s">
        <v>39</v>
      </c>
    </row>
    <row r="101" spans="23:47" x14ac:dyDescent="0.2">
      <c r="Y101" t="s">
        <v>41</v>
      </c>
      <c r="Z101">
        <v>3</v>
      </c>
      <c r="AA101">
        <v>37.749226006191947</v>
      </c>
      <c r="AB101">
        <v>12.583075335397316</v>
      </c>
      <c r="AC101">
        <v>2.43169524612847</v>
      </c>
      <c r="AG101" t="s">
        <v>41</v>
      </c>
      <c r="AH101">
        <v>3</v>
      </c>
      <c r="AI101">
        <v>36.481283422459896</v>
      </c>
      <c r="AJ101">
        <v>12.160427807486633</v>
      </c>
      <c r="AK101">
        <v>2.9060882495924432</v>
      </c>
      <c r="AO101" t="s">
        <v>41</v>
      </c>
      <c r="AP101">
        <v>3</v>
      </c>
      <c r="AQ101">
        <v>37.749226006191947</v>
      </c>
      <c r="AR101">
        <v>12.583075335397316</v>
      </c>
      <c r="AS101">
        <v>2.43169524612847</v>
      </c>
    </row>
    <row r="102" spans="23:47" ht="16" thickBot="1" x14ac:dyDescent="0.25">
      <c r="Y102" s="4" t="s">
        <v>42</v>
      </c>
      <c r="Z102" s="4">
        <v>3</v>
      </c>
      <c r="AA102" s="4">
        <v>36.481283422459896</v>
      </c>
      <c r="AB102" s="4">
        <v>12.160427807486633</v>
      </c>
      <c r="AC102" s="4">
        <v>2.9060882495924432</v>
      </c>
      <c r="AG102" s="4" t="s">
        <v>42</v>
      </c>
      <c r="AH102" s="4">
        <v>3</v>
      </c>
      <c r="AI102" s="4">
        <v>21.862771599217382</v>
      </c>
      <c r="AJ102" s="4">
        <v>7.2875905330724606</v>
      </c>
      <c r="AK102" s="4">
        <v>1.5912839047675504</v>
      </c>
      <c r="AO102" s="4" t="s">
        <v>42</v>
      </c>
      <c r="AP102" s="4">
        <v>3</v>
      </c>
      <c r="AQ102" s="4">
        <v>21.862771599217382</v>
      </c>
      <c r="AR102" s="4">
        <v>7.2875905330724606</v>
      </c>
      <c r="AS102" s="4">
        <v>1.5912839047675504</v>
      </c>
    </row>
    <row r="105" spans="23:47" ht="16" thickBot="1" x14ac:dyDescent="0.25">
      <c r="Y105" t="s">
        <v>44</v>
      </c>
      <c r="AG105" t="s">
        <v>44</v>
      </c>
      <c r="AO105" t="s">
        <v>44</v>
      </c>
    </row>
    <row r="106" spans="23:47" x14ac:dyDescent="0.2">
      <c r="Y106" s="3" t="s">
        <v>45</v>
      </c>
      <c r="Z106" s="3" t="s">
        <v>46</v>
      </c>
      <c r="AA106" s="3" t="s">
        <v>47</v>
      </c>
      <c r="AB106" s="3" t="s">
        <v>48</v>
      </c>
      <c r="AC106" s="3" t="s">
        <v>49</v>
      </c>
      <c r="AD106" s="3" t="s">
        <v>50</v>
      </c>
      <c r="AE106" s="3" t="s">
        <v>51</v>
      </c>
      <c r="AG106" s="3" t="s">
        <v>45</v>
      </c>
      <c r="AH106" s="3" t="s">
        <v>46</v>
      </c>
      <c r="AI106" s="3" t="s">
        <v>47</v>
      </c>
      <c r="AJ106" s="3" t="s">
        <v>48</v>
      </c>
      <c r="AK106" s="3" t="s">
        <v>49</v>
      </c>
      <c r="AL106" s="3" t="s">
        <v>50</v>
      </c>
      <c r="AM106" s="3" t="s">
        <v>51</v>
      </c>
      <c r="AO106" s="3" t="s">
        <v>45</v>
      </c>
      <c r="AP106" s="3" t="s">
        <v>46</v>
      </c>
      <c r="AQ106" s="3" t="s">
        <v>47</v>
      </c>
      <c r="AR106" s="3" t="s">
        <v>48</v>
      </c>
      <c r="AS106" s="3" t="s">
        <v>49</v>
      </c>
      <c r="AT106" s="3" t="s">
        <v>50</v>
      </c>
      <c r="AU106" s="3" t="s">
        <v>51</v>
      </c>
    </row>
    <row r="107" spans="23:47" x14ac:dyDescent="0.2">
      <c r="Y107" t="s">
        <v>52</v>
      </c>
      <c r="Z107">
        <v>0.26794639927352293</v>
      </c>
      <c r="AA107">
        <v>1</v>
      </c>
      <c r="AB107">
        <v>0.26794639927352293</v>
      </c>
      <c r="AC107">
        <v>0.1003961286508994</v>
      </c>
      <c r="AD107">
        <v>0.76720277570979656</v>
      </c>
      <c r="AE107">
        <v>7.708647422176786</v>
      </c>
      <c r="AG107" t="s">
        <v>52</v>
      </c>
      <c r="AH107">
        <v>35.616814654380178</v>
      </c>
      <c r="AI107">
        <v>1</v>
      </c>
      <c r="AJ107">
        <v>35.616814654380178</v>
      </c>
      <c r="AK107">
        <v>15.838944802400198</v>
      </c>
      <c r="AL107">
        <v>1.6403624657046464E-2</v>
      </c>
      <c r="AM107">
        <v>7.708647422176786</v>
      </c>
      <c r="AO107" t="s">
        <v>52</v>
      </c>
      <c r="AP107">
        <v>42.063238937480278</v>
      </c>
      <c r="AQ107">
        <v>1</v>
      </c>
      <c r="AR107">
        <v>42.063238937480278</v>
      </c>
      <c r="AS107">
        <v>20.911487412561986</v>
      </c>
      <c r="AT107">
        <v>1.0238227997810986E-2</v>
      </c>
      <c r="AU107">
        <v>7.708647422176786</v>
      </c>
    </row>
    <row r="108" spans="23:47" x14ac:dyDescent="0.2">
      <c r="Y108" t="s">
        <v>53</v>
      </c>
      <c r="Z108">
        <v>10.675566991441857</v>
      </c>
      <c r="AA108">
        <v>4</v>
      </c>
      <c r="AB108">
        <v>2.6688917478604641</v>
      </c>
      <c r="AG108" t="s">
        <v>53</v>
      </c>
      <c r="AH108">
        <v>8.9947443087200831</v>
      </c>
      <c r="AI108">
        <v>4</v>
      </c>
      <c r="AJ108">
        <v>2.2486860771800208</v>
      </c>
      <c r="AO108" t="s">
        <v>53</v>
      </c>
      <c r="AP108">
        <v>8.0459583017919574</v>
      </c>
      <c r="AQ108">
        <v>4</v>
      </c>
      <c r="AR108">
        <v>2.0114895754479893</v>
      </c>
    </row>
    <row r="110" spans="23:47" ht="16" thickBot="1" x14ac:dyDescent="0.25">
      <c r="Y110" s="4" t="s">
        <v>55</v>
      </c>
      <c r="Z110" s="4">
        <v>10.943513390715379</v>
      </c>
      <c r="AA110" s="4">
        <v>5</v>
      </c>
      <c r="AB110" s="4"/>
      <c r="AC110" s="4"/>
      <c r="AD110" s="4"/>
      <c r="AE110" s="4"/>
      <c r="AG110" s="4" t="s">
        <v>55</v>
      </c>
      <c r="AH110" s="4">
        <v>44.611558963100258</v>
      </c>
      <c r="AI110" s="4">
        <v>5</v>
      </c>
      <c r="AJ110" s="4"/>
      <c r="AK110" s="4"/>
      <c r="AL110" s="4"/>
      <c r="AM110" s="4"/>
      <c r="AO110" s="4" t="s">
        <v>55</v>
      </c>
      <c r="AP110" s="4">
        <v>50.109197239272234</v>
      </c>
      <c r="AQ110" s="4">
        <v>5</v>
      </c>
      <c r="AR110" s="4"/>
      <c r="AS110" s="4"/>
      <c r="AT110" s="4"/>
      <c r="AU110" s="4"/>
    </row>
    <row r="113" spans="23:31" x14ac:dyDescent="0.2">
      <c r="W113" s="80" t="s">
        <v>225</v>
      </c>
      <c r="Y113" t="s">
        <v>31</v>
      </c>
      <c r="AB113" s="110" t="s">
        <v>383</v>
      </c>
      <c r="AC113" s="110"/>
    </row>
    <row r="115" spans="23:31" ht="16" thickBot="1" x14ac:dyDescent="0.25">
      <c r="Y115" t="s">
        <v>34</v>
      </c>
    </row>
    <row r="116" spans="23:31" x14ac:dyDescent="0.2">
      <c r="Y116" s="3" t="s">
        <v>35</v>
      </c>
      <c r="Z116" s="3" t="s">
        <v>36</v>
      </c>
      <c r="AA116" s="3" t="s">
        <v>37</v>
      </c>
      <c r="AB116" s="3" t="s">
        <v>38</v>
      </c>
      <c r="AC116" s="3" t="s">
        <v>39</v>
      </c>
    </row>
    <row r="117" spans="23:31" x14ac:dyDescent="0.2">
      <c r="Y117" t="s">
        <v>41</v>
      </c>
      <c r="Z117">
        <v>3</v>
      </c>
      <c r="AA117">
        <v>36.617647058823529</v>
      </c>
      <c r="AB117">
        <v>12.205882352941176</v>
      </c>
      <c r="AC117">
        <v>4.303633217993081</v>
      </c>
    </row>
    <row r="118" spans="23:31" ht="16" thickBot="1" x14ac:dyDescent="0.25">
      <c r="Y118" s="4" t="s">
        <v>42</v>
      </c>
      <c r="Z118" s="4">
        <v>3</v>
      </c>
      <c r="AA118" s="4">
        <v>34.702215431627195</v>
      </c>
      <c r="AB118" s="4">
        <v>11.567405143875732</v>
      </c>
      <c r="AC118" s="4">
        <v>1.8912850585056595</v>
      </c>
    </row>
    <row r="121" spans="23:31" ht="16" thickBot="1" x14ac:dyDescent="0.25">
      <c r="Y121" t="s">
        <v>44</v>
      </c>
    </row>
    <row r="122" spans="23:31" x14ac:dyDescent="0.2">
      <c r="Y122" s="3" t="s">
        <v>45</v>
      </c>
      <c r="Z122" s="3" t="s">
        <v>46</v>
      </c>
      <c r="AA122" s="3" t="s">
        <v>47</v>
      </c>
      <c r="AB122" s="3" t="s">
        <v>48</v>
      </c>
      <c r="AC122" s="3" t="s">
        <v>49</v>
      </c>
      <c r="AD122" s="3" t="s">
        <v>50</v>
      </c>
      <c r="AE122" s="3" t="s">
        <v>51</v>
      </c>
    </row>
    <row r="123" spans="23:31" x14ac:dyDescent="0.2">
      <c r="Y123" t="s">
        <v>52</v>
      </c>
      <c r="Z123">
        <v>0.61147971974399873</v>
      </c>
      <c r="AA123">
        <v>1</v>
      </c>
      <c r="AB123">
        <v>0.61147971974399873</v>
      </c>
      <c r="AC123">
        <v>0.19741332894212016</v>
      </c>
      <c r="AD123">
        <v>0.67979648729770181</v>
      </c>
      <c r="AE123">
        <v>7.708647422176786</v>
      </c>
    </row>
    <row r="124" spans="23:31" x14ac:dyDescent="0.2">
      <c r="Y124" t="s">
        <v>53</v>
      </c>
      <c r="Z124">
        <v>12.389836552997476</v>
      </c>
      <c r="AA124">
        <v>4</v>
      </c>
      <c r="AB124">
        <v>3.097459138249369</v>
      </c>
    </row>
    <row r="126" spans="23:31" ht="16" thickBot="1" x14ac:dyDescent="0.25">
      <c r="Y126" s="4" t="s">
        <v>55</v>
      </c>
      <c r="Z126" s="4">
        <v>13.001316272741475</v>
      </c>
      <c r="AA126" s="4">
        <v>5</v>
      </c>
      <c r="AB126" s="4"/>
      <c r="AC126" s="4"/>
      <c r="AD126" s="4"/>
      <c r="AE126" s="4"/>
    </row>
  </sheetData>
  <mergeCells count="58">
    <mergeCell ref="R57:S57"/>
    <mergeCell ref="R27:S27"/>
    <mergeCell ref="AB97:AC97"/>
    <mergeCell ref="AJ97:AK97"/>
    <mergeCell ref="AR97:AS97"/>
    <mergeCell ref="AB113:AC113"/>
    <mergeCell ref="AB65:AC65"/>
    <mergeCell ref="AJ65:AK65"/>
    <mergeCell ref="AR65:AS65"/>
    <mergeCell ref="AB81:AC81"/>
    <mergeCell ref="AJ81:AK81"/>
    <mergeCell ref="AR81:AS81"/>
    <mergeCell ref="R92:S92"/>
    <mergeCell ref="B78:D78"/>
    <mergeCell ref="F78:H78"/>
    <mergeCell ref="J78:L78"/>
    <mergeCell ref="N78:P78"/>
    <mergeCell ref="R78:T78"/>
    <mergeCell ref="A65:T65"/>
    <mergeCell ref="B67:D67"/>
    <mergeCell ref="F67:H67"/>
    <mergeCell ref="J67:L67"/>
    <mergeCell ref="N67:P67"/>
    <mergeCell ref="R67:T67"/>
    <mergeCell ref="AB33:AC33"/>
    <mergeCell ref="AR33:AS33"/>
    <mergeCell ref="AJ33:AK33"/>
    <mergeCell ref="AB48:AC48"/>
    <mergeCell ref="AJ48:AK48"/>
    <mergeCell ref="AR48:AS48"/>
    <mergeCell ref="B15:D15"/>
    <mergeCell ref="R45:T45"/>
    <mergeCell ref="B45:D45"/>
    <mergeCell ref="F45:H45"/>
    <mergeCell ref="J45:L45"/>
    <mergeCell ref="N45:P45"/>
    <mergeCell ref="A33:T33"/>
    <mergeCell ref="B34:D34"/>
    <mergeCell ref="F34:H34"/>
    <mergeCell ref="J34:L34"/>
    <mergeCell ref="N34:P34"/>
    <mergeCell ref="R34:T34"/>
    <mergeCell ref="R4:T4"/>
    <mergeCell ref="AB1:AC1"/>
    <mergeCell ref="AJ1:AK1"/>
    <mergeCell ref="AR1:AS1"/>
    <mergeCell ref="AB16:AC16"/>
    <mergeCell ref="AJ16:AK16"/>
    <mergeCell ref="AR16:AS16"/>
    <mergeCell ref="A2:T2"/>
    <mergeCell ref="B4:D4"/>
    <mergeCell ref="F4:H4"/>
    <mergeCell ref="J4:L4"/>
    <mergeCell ref="N4:P4"/>
    <mergeCell ref="R15:T15"/>
    <mergeCell ref="N15:P15"/>
    <mergeCell ref="J15:L15"/>
    <mergeCell ref="F15:H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F32B-4827-C048-BE21-73F6BB2970D5}">
  <sheetPr>
    <tabColor rgb="FF00B050"/>
  </sheetPr>
  <dimension ref="A1:AQ68"/>
  <sheetViews>
    <sheetView topLeftCell="A14" zoomScale="90" zoomScaleNormal="90" workbookViewId="0">
      <selection activeCell="J27" sqref="J27:K28"/>
    </sheetView>
  </sheetViews>
  <sheetFormatPr baseColWidth="10" defaultColWidth="11.5" defaultRowHeight="15" x14ac:dyDescent="0.2"/>
  <cols>
    <col min="1" max="1" width="11.83203125" customWidth="1"/>
    <col min="2" max="2" width="9.5" customWidth="1"/>
    <col min="3" max="3" width="9.6640625" customWidth="1"/>
    <col min="4" max="4" width="9" customWidth="1"/>
    <col min="5" max="5" width="5.33203125" customWidth="1"/>
    <col min="6" max="6" width="8.5" customWidth="1"/>
    <col min="7" max="7" width="8.1640625" customWidth="1"/>
    <col min="8" max="8" width="8.83203125" customWidth="1"/>
    <col min="9" max="9" width="6.33203125" customWidth="1"/>
    <col min="10" max="10" width="8.6640625" customWidth="1"/>
    <col min="11" max="11" width="8.5" customWidth="1"/>
    <col min="12" max="12" width="9" customWidth="1"/>
    <col min="13" max="13" width="6" customWidth="1"/>
    <col min="14" max="14" width="9.5" customWidth="1"/>
    <col min="15" max="15" width="8.6640625" customWidth="1"/>
    <col min="16" max="16" width="9.6640625" customWidth="1"/>
    <col min="17" max="17" width="7" customWidth="1"/>
    <col min="18" max="18" width="9.6640625" customWidth="1"/>
    <col min="19" max="19" width="9.83203125" customWidth="1"/>
    <col min="20" max="20" width="9.33203125" customWidth="1"/>
    <col min="22" max="22" width="2.5" style="83" customWidth="1"/>
    <col min="23" max="23" width="13.5" customWidth="1"/>
    <col min="27" max="27" width="8" customWidth="1"/>
    <col min="31" max="31" width="8.33203125" customWidth="1"/>
    <col min="35" max="35" width="6.33203125" customWidth="1"/>
    <col min="39" max="39" width="7.33203125" customWidth="1"/>
    <col min="40" max="40" width="10.33203125" customWidth="1"/>
    <col min="41" max="42" width="9.6640625" customWidth="1"/>
  </cols>
  <sheetData>
    <row r="1" spans="1:43" ht="16" thickBot="1" x14ac:dyDescent="0.25">
      <c r="A1" s="111" t="s">
        <v>221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3"/>
      <c r="W1" s="111" t="s">
        <v>222</v>
      </c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3"/>
    </row>
    <row r="2" spans="1:43" x14ac:dyDescent="0.2">
      <c r="B2" s="109" t="s">
        <v>173</v>
      </c>
      <c r="C2" s="109"/>
      <c r="D2" s="109"/>
      <c r="F2" s="109" t="s">
        <v>68</v>
      </c>
      <c r="G2" s="109"/>
      <c r="H2" s="109"/>
      <c r="J2" s="109" t="s">
        <v>69</v>
      </c>
      <c r="K2" s="109"/>
      <c r="L2" s="109"/>
      <c r="N2" s="109" t="s">
        <v>202</v>
      </c>
      <c r="O2" s="109"/>
      <c r="P2" s="109"/>
      <c r="X2" s="109" t="s">
        <v>173</v>
      </c>
      <c r="Y2" s="109"/>
      <c r="Z2" s="109"/>
      <c r="AB2" s="109" t="s">
        <v>68</v>
      </c>
      <c r="AC2" s="109"/>
      <c r="AD2" s="109"/>
      <c r="AF2" s="109" t="s">
        <v>69</v>
      </c>
      <c r="AG2" s="109"/>
      <c r="AH2" s="109"/>
      <c r="AJ2" s="109" t="s">
        <v>202</v>
      </c>
      <c r="AK2" s="109"/>
      <c r="AL2" s="109"/>
    </row>
    <row r="3" spans="1:43" x14ac:dyDescent="0.2">
      <c r="A3" s="12" t="s">
        <v>216</v>
      </c>
      <c r="B3" s="14" t="s">
        <v>66</v>
      </c>
      <c r="C3" s="14" t="s">
        <v>28</v>
      </c>
      <c r="D3" s="14" t="s">
        <v>30</v>
      </c>
      <c r="E3" s="14"/>
      <c r="F3" s="14" t="s">
        <v>66</v>
      </c>
      <c r="G3" s="14" t="s">
        <v>28</v>
      </c>
      <c r="H3" s="14" t="s">
        <v>30</v>
      </c>
      <c r="I3" s="14"/>
      <c r="J3" s="14" t="s">
        <v>66</v>
      </c>
      <c r="K3" s="14" t="s">
        <v>28</v>
      </c>
      <c r="L3" s="14" t="s">
        <v>30</v>
      </c>
      <c r="M3" s="14"/>
      <c r="N3" s="14" t="s">
        <v>66</v>
      </c>
      <c r="O3" s="14" t="s">
        <v>28</v>
      </c>
      <c r="P3" s="14" t="s">
        <v>30</v>
      </c>
      <c r="W3" s="12" t="s">
        <v>223</v>
      </c>
      <c r="X3" s="14" t="s">
        <v>66</v>
      </c>
      <c r="Y3" s="14" t="s">
        <v>28</v>
      </c>
      <c r="Z3" s="14" t="s">
        <v>30</v>
      </c>
      <c r="AA3" s="14"/>
      <c r="AB3" s="14" t="s">
        <v>66</v>
      </c>
      <c r="AC3" s="14" t="s">
        <v>28</v>
      </c>
      <c r="AD3" s="14" t="s">
        <v>30</v>
      </c>
      <c r="AE3" s="14"/>
      <c r="AF3" s="14" t="s">
        <v>66</v>
      </c>
      <c r="AG3" s="14" t="s">
        <v>28</v>
      </c>
      <c r="AH3" s="14" t="s">
        <v>30</v>
      </c>
      <c r="AI3" s="14"/>
      <c r="AJ3" s="14" t="s">
        <v>66</v>
      </c>
      <c r="AK3" s="14" t="s">
        <v>28</v>
      </c>
      <c r="AL3" s="14" t="s">
        <v>30</v>
      </c>
      <c r="AN3" s="14"/>
      <c r="AO3" s="14"/>
      <c r="AP3" s="14"/>
    </row>
    <row r="4" spans="1:43" x14ac:dyDescent="0.2">
      <c r="A4" s="80" t="s">
        <v>214</v>
      </c>
      <c r="B4">
        <v>5</v>
      </c>
      <c r="C4">
        <v>4</v>
      </c>
      <c r="D4">
        <v>4</v>
      </c>
      <c r="F4">
        <v>3</v>
      </c>
      <c r="G4">
        <v>5</v>
      </c>
      <c r="H4">
        <v>6</v>
      </c>
      <c r="J4">
        <v>4</v>
      </c>
      <c r="K4">
        <v>3</v>
      </c>
      <c r="L4">
        <v>4</v>
      </c>
      <c r="N4">
        <f t="shared" ref="N4:P6" si="0">AVERAGE(B4,F4,J4)</f>
        <v>4</v>
      </c>
      <c r="O4">
        <f t="shared" si="0"/>
        <v>4</v>
      </c>
      <c r="P4">
        <f t="shared" si="0"/>
        <v>4.666666666666667</v>
      </c>
      <c r="R4" s="82" t="s">
        <v>66</v>
      </c>
      <c r="S4" s="82" t="s">
        <v>28</v>
      </c>
      <c r="T4" s="82" t="s">
        <v>30</v>
      </c>
      <c r="W4" s="80" t="s">
        <v>214</v>
      </c>
      <c r="X4">
        <v>3</v>
      </c>
      <c r="Y4">
        <v>5</v>
      </c>
      <c r="Z4">
        <v>5</v>
      </c>
      <c r="AB4">
        <v>4</v>
      </c>
      <c r="AC4">
        <v>4</v>
      </c>
      <c r="AD4">
        <v>4</v>
      </c>
      <c r="AF4">
        <v>4</v>
      </c>
      <c r="AG4">
        <v>5</v>
      </c>
      <c r="AH4">
        <v>4</v>
      </c>
      <c r="AJ4">
        <f>AVERAGE(X4,AB4,AF4)</f>
        <v>3.6666666666666665</v>
      </c>
      <c r="AK4">
        <f t="shared" ref="AK4:AL5" si="1">AVERAGE(Y4,AC4,AG4)</f>
        <v>4.666666666666667</v>
      </c>
      <c r="AL4">
        <f t="shared" si="1"/>
        <v>4.333333333333333</v>
      </c>
      <c r="AN4" s="14" t="s">
        <v>66</v>
      </c>
      <c r="AO4" s="14" t="s">
        <v>28</v>
      </c>
      <c r="AP4" s="14" t="s">
        <v>30</v>
      </c>
    </row>
    <row r="5" spans="1:43" x14ac:dyDescent="0.2">
      <c r="A5" s="14" t="s">
        <v>122</v>
      </c>
      <c r="B5">
        <v>119</v>
      </c>
      <c r="C5">
        <v>72</v>
      </c>
      <c r="D5">
        <v>60</v>
      </c>
      <c r="F5">
        <v>85</v>
      </c>
      <c r="G5">
        <v>80</v>
      </c>
      <c r="H5">
        <v>94</v>
      </c>
      <c r="J5">
        <v>76</v>
      </c>
      <c r="K5">
        <v>86</v>
      </c>
      <c r="L5">
        <v>50</v>
      </c>
      <c r="N5">
        <f t="shared" si="0"/>
        <v>93.333333333333329</v>
      </c>
      <c r="O5">
        <f t="shared" si="0"/>
        <v>79.333333333333329</v>
      </c>
      <c r="P5">
        <f t="shared" si="0"/>
        <v>68</v>
      </c>
      <c r="R5">
        <f>STDEVA(B6,F6,J6)</f>
        <v>0.87412384909038443</v>
      </c>
      <c r="S5">
        <f>STDEVA(C6,G6,K6)</f>
        <v>1.4365519627902721</v>
      </c>
      <c r="T5">
        <f t="shared" ref="T5" si="2">STDEVA(D6,H6,L6)</f>
        <v>0.86342481200291044</v>
      </c>
      <c r="U5" s="82" t="s">
        <v>63</v>
      </c>
      <c r="W5" s="14" t="s">
        <v>122</v>
      </c>
      <c r="X5">
        <v>58</v>
      </c>
      <c r="Y5">
        <v>70</v>
      </c>
      <c r="Z5">
        <v>90</v>
      </c>
      <c r="AB5">
        <v>80</v>
      </c>
      <c r="AC5">
        <v>88</v>
      </c>
      <c r="AD5">
        <v>77</v>
      </c>
      <c r="AF5">
        <v>70</v>
      </c>
      <c r="AG5">
        <v>81</v>
      </c>
      <c r="AH5">
        <v>62</v>
      </c>
      <c r="AJ5">
        <f>AVERAGE(X5,AB5,AF5)</f>
        <v>69.333333333333329</v>
      </c>
      <c r="AK5">
        <f t="shared" si="1"/>
        <v>79.666666666666671</v>
      </c>
      <c r="AL5">
        <f t="shared" si="1"/>
        <v>76.333333333333329</v>
      </c>
      <c r="AM5" s="14"/>
      <c r="AN5">
        <f>STDEVA(X6,AB6,AF6)</f>
        <v>0.37272773276900389</v>
      </c>
      <c r="AO5">
        <f>STDEVA(Y6,AC6,AG6)</f>
        <v>1.3124923033961302</v>
      </c>
      <c r="AP5">
        <f>STDEVA(Z6,AD6,AH6)</f>
        <v>0.64712507923389229</v>
      </c>
      <c r="AQ5" s="82" t="s">
        <v>63</v>
      </c>
    </row>
    <row r="6" spans="1:43" x14ac:dyDescent="0.2">
      <c r="A6" t="s">
        <v>227</v>
      </c>
      <c r="B6">
        <f>(B4/B5)*100</f>
        <v>4.2016806722689077</v>
      </c>
      <c r="C6">
        <f>(C4/C5)*100</f>
        <v>5.5555555555555554</v>
      </c>
      <c r="D6">
        <f>(D4/D5)*100</f>
        <v>6.666666666666667</v>
      </c>
      <c r="F6">
        <f>(F4/F5)*100</f>
        <v>3.5294117647058822</v>
      </c>
      <c r="G6">
        <f>(G4/G5)*100</f>
        <v>6.25</v>
      </c>
      <c r="H6">
        <f>(H4/H5)*100</f>
        <v>6.3829787234042552</v>
      </c>
      <c r="J6">
        <f>(J4/J5)*100</f>
        <v>5.2631578947368416</v>
      </c>
      <c r="K6">
        <f>(K4/K5)*100</f>
        <v>3.4883720930232558</v>
      </c>
      <c r="L6">
        <f>(L4/L5)*100</f>
        <v>8</v>
      </c>
      <c r="N6">
        <f t="shared" si="0"/>
        <v>4.3314167772372105</v>
      </c>
      <c r="O6">
        <f t="shared" si="0"/>
        <v>5.097975882859604</v>
      </c>
      <c r="P6">
        <f t="shared" si="0"/>
        <v>7.0165484633569735</v>
      </c>
      <c r="R6">
        <f>(R5/SQRT(3))</f>
        <v>0.50467563957740524</v>
      </c>
      <c r="S6">
        <f t="shared" ref="S6:T6" si="3">(S5/SQRT(3))</f>
        <v>0.82939366242184887</v>
      </c>
      <c r="T6">
        <f t="shared" si="3"/>
        <v>0.49849854763488238</v>
      </c>
      <c r="U6" s="82" t="s">
        <v>59</v>
      </c>
      <c r="W6" t="s">
        <v>227</v>
      </c>
      <c r="X6">
        <f>(X4/X5)*100</f>
        <v>5.1724137931034484</v>
      </c>
      <c r="Y6">
        <f t="shared" ref="Y6:Z6" si="4">(Y4/Y5)*100</f>
        <v>7.1428571428571423</v>
      </c>
      <c r="Z6">
        <f t="shared" si="4"/>
        <v>5.5555555555555554</v>
      </c>
      <c r="AB6">
        <f>(AB4/AB5)*100</f>
        <v>5</v>
      </c>
      <c r="AC6">
        <f t="shared" ref="AC6:AD6" si="5">(AC4/AC5)*100</f>
        <v>4.5454545454545459</v>
      </c>
      <c r="AD6">
        <f t="shared" si="5"/>
        <v>5.1948051948051948</v>
      </c>
      <c r="AF6">
        <f>(AF4/AF5)*100</f>
        <v>5.7142857142857144</v>
      </c>
      <c r="AG6">
        <f t="shared" ref="AG6:AH6" si="6">(AG4/AG5)*100</f>
        <v>6.1728395061728394</v>
      </c>
      <c r="AH6">
        <f t="shared" si="6"/>
        <v>6.4516129032258061</v>
      </c>
      <c r="AJ6">
        <f>(AJ4/AJ5)*100</f>
        <v>5.2884615384615383</v>
      </c>
      <c r="AK6">
        <f t="shared" ref="AK6:AL6" si="7">(AK4/AK5)*100</f>
        <v>5.8577405857740583</v>
      </c>
      <c r="AL6">
        <f t="shared" si="7"/>
        <v>5.6768558951965069</v>
      </c>
      <c r="AM6" s="14"/>
      <c r="AN6">
        <f>((AN5/SQRT(3)))</f>
        <v>0.21519445684862332</v>
      </c>
      <c r="AO6">
        <f t="shared" ref="AO6:AP6" si="8">((AO5/SQRT(3)))</f>
        <v>0.75776778467506778</v>
      </c>
      <c r="AP6">
        <f t="shared" si="8"/>
        <v>0.37361783869504561</v>
      </c>
      <c r="AQ6" s="82" t="s">
        <v>59</v>
      </c>
    </row>
    <row r="7" spans="1:43" x14ac:dyDescent="0.2">
      <c r="A7" s="14"/>
      <c r="W7" s="14"/>
      <c r="AM7" s="14"/>
    </row>
    <row r="8" spans="1:43" x14ac:dyDescent="0.2">
      <c r="B8" s="14" t="s">
        <v>66</v>
      </c>
      <c r="C8" s="14" t="s">
        <v>28</v>
      </c>
      <c r="D8" s="14" t="s">
        <v>30</v>
      </c>
      <c r="E8" s="14"/>
      <c r="F8" s="14" t="s">
        <v>66</v>
      </c>
      <c r="G8" s="14" t="s">
        <v>28</v>
      </c>
      <c r="H8" s="14" t="s">
        <v>30</v>
      </c>
      <c r="I8" s="14"/>
      <c r="J8" s="14" t="s">
        <v>66</v>
      </c>
      <c r="K8" s="14" t="s">
        <v>28</v>
      </c>
      <c r="L8" s="14" t="s">
        <v>30</v>
      </c>
      <c r="M8" s="14"/>
      <c r="N8" s="14" t="s">
        <v>66</v>
      </c>
      <c r="O8" s="14" t="s">
        <v>28</v>
      </c>
      <c r="P8" s="14" t="s">
        <v>30</v>
      </c>
      <c r="X8" s="14" t="s">
        <v>66</v>
      </c>
      <c r="Y8" s="14" t="s">
        <v>28</v>
      </c>
      <c r="Z8" s="14" t="s">
        <v>30</v>
      </c>
      <c r="AA8" s="14"/>
      <c r="AB8" s="14" t="s">
        <v>66</v>
      </c>
      <c r="AC8" s="14" t="s">
        <v>28</v>
      </c>
      <c r="AD8" s="14" t="s">
        <v>30</v>
      </c>
      <c r="AE8" s="14"/>
      <c r="AF8" s="14" t="s">
        <v>66</v>
      </c>
      <c r="AG8" s="14" t="s">
        <v>28</v>
      </c>
      <c r="AH8" s="14" t="s">
        <v>30</v>
      </c>
      <c r="AI8" s="14"/>
      <c r="AJ8" s="14" t="s">
        <v>66</v>
      </c>
      <c r="AK8" s="14" t="s">
        <v>28</v>
      </c>
      <c r="AL8" s="14" t="s">
        <v>30</v>
      </c>
      <c r="AM8" s="14"/>
    </row>
    <row r="9" spans="1:43" x14ac:dyDescent="0.2">
      <c r="A9" s="80" t="s">
        <v>215</v>
      </c>
      <c r="B9">
        <v>11</v>
      </c>
      <c r="C9">
        <v>7</v>
      </c>
      <c r="D9">
        <v>5</v>
      </c>
      <c r="F9">
        <v>7</v>
      </c>
      <c r="G9">
        <v>9</v>
      </c>
      <c r="H9">
        <v>9</v>
      </c>
      <c r="J9">
        <v>7</v>
      </c>
      <c r="K9">
        <v>6</v>
      </c>
      <c r="L9">
        <v>4</v>
      </c>
      <c r="N9">
        <f t="shared" ref="N9:P11" si="9">AVERAGE(B9,F9,J9)</f>
        <v>8.3333333333333339</v>
      </c>
      <c r="O9">
        <f t="shared" si="9"/>
        <v>7.333333333333333</v>
      </c>
      <c r="P9">
        <f t="shared" si="9"/>
        <v>6</v>
      </c>
      <c r="R9" s="82" t="s">
        <v>66</v>
      </c>
      <c r="S9" s="82" t="s">
        <v>28</v>
      </c>
      <c r="T9" s="82" t="s">
        <v>30</v>
      </c>
      <c r="W9" s="80" t="s">
        <v>215</v>
      </c>
      <c r="X9">
        <v>7</v>
      </c>
      <c r="Y9">
        <v>8</v>
      </c>
      <c r="Z9">
        <v>8</v>
      </c>
      <c r="AB9">
        <v>6</v>
      </c>
      <c r="AC9">
        <v>9</v>
      </c>
      <c r="AD9">
        <v>7</v>
      </c>
      <c r="AF9">
        <v>6</v>
      </c>
      <c r="AG9">
        <v>12</v>
      </c>
      <c r="AH9">
        <v>8</v>
      </c>
      <c r="AJ9">
        <f>AVERAGE(X9,AB9,AF9)</f>
        <v>6.333333333333333</v>
      </c>
      <c r="AK9">
        <f t="shared" ref="AK9:AL10" si="10">AVERAGE(Y9,AC9,AG9)</f>
        <v>9.6666666666666661</v>
      </c>
      <c r="AL9">
        <f t="shared" si="10"/>
        <v>7.666666666666667</v>
      </c>
      <c r="AN9" s="14" t="s">
        <v>66</v>
      </c>
      <c r="AO9" s="14" t="s">
        <v>28</v>
      </c>
      <c r="AP9" s="14" t="s">
        <v>30</v>
      </c>
    </row>
    <row r="10" spans="1:43" x14ac:dyDescent="0.2">
      <c r="A10" s="14" t="s">
        <v>122</v>
      </c>
      <c r="B10">
        <f>B5</f>
        <v>119</v>
      </c>
      <c r="C10">
        <f>C5</f>
        <v>72</v>
      </c>
      <c r="D10">
        <f>D5</f>
        <v>60</v>
      </c>
      <c r="F10">
        <v>85</v>
      </c>
      <c r="G10">
        <f>G5</f>
        <v>80</v>
      </c>
      <c r="H10">
        <f>H5</f>
        <v>94</v>
      </c>
      <c r="J10">
        <f>J5</f>
        <v>76</v>
      </c>
      <c r="K10">
        <f>K5</f>
        <v>86</v>
      </c>
      <c r="L10">
        <f>L5</f>
        <v>50</v>
      </c>
      <c r="N10">
        <f t="shared" si="9"/>
        <v>93.333333333333329</v>
      </c>
      <c r="O10">
        <f t="shared" si="9"/>
        <v>79.333333333333329</v>
      </c>
      <c r="P10">
        <f t="shared" si="9"/>
        <v>68</v>
      </c>
      <c r="R10">
        <f>STDEVA(B11,F11,J11)</f>
        <v>0.57286640466063787</v>
      </c>
      <c r="S10">
        <f>STDEVA(C11,G11,K11)</f>
        <v>2.1653510045287661</v>
      </c>
      <c r="T10">
        <f t="shared" ref="T10" si="11">STDEVA(D11,H11,L11)</f>
        <v>0.82970640733016987</v>
      </c>
      <c r="U10" s="82" t="s">
        <v>63</v>
      </c>
      <c r="W10" s="14" t="s">
        <v>122</v>
      </c>
      <c r="X10">
        <v>58</v>
      </c>
      <c r="Y10">
        <v>70</v>
      </c>
      <c r="Z10">
        <v>90</v>
      </c>
      <c r="AB10">
        <f>AB5</f>
        <v>80</v>
      </c>
      <c r="AC10">
        <f t="shared" ref="AC10:AD10" si="12">AC5</f>
        <v>88</v>
      </c>
      <c r="AD10">
        <f t="shared" si="12"/>
        <v>77</v>
      </c>
      <c r="AF10">
        <v>70</v>
      </c>
      <c r="AG10">
        <v>81</v>
      </c>
      <c r="AH10">
        <v>62</v>
      </c>
      <c r="AJ10">
        <f>AVERAGE(X10,AB10,AF10)</f>
        <v>69.333333333333329</v>
      </c>
      <c r="AK10">
        <f t="shared" si="10"/>
        <v>79.666666666666671</v>
      </c>
      <c r="AL10">
        <f t="shared" si="10"/>
        <v>76.333333333333329</v>
      </c>
      <c r="AM10" s="14"/>
      <c r="AN10">
        <f>STDEVA(X11,AB11,AF11)</f>
        <v>2.389427050178202</v>
      </c>
      <c r="AO10">
        <f>STDEVA(Y11,AC11,AG11)</f>
        <v>2.3789109989512953</v>
      </c>
      <c r="AP10">
        <f>STDEVA(Z11,AD11,AH11)</f>
        <v>2.2616171127954856</v>
      </c>
      <c r="AQ10" s="82" t="s">
        <v>63</v>
      </c>
    </row>
    <row r="11" spans="1:43" x14ac:dyDescent="0.2">
      <c r="A11" t="s">
        <v>228</v>
      </c>
      <c r="B11">
        <f>(B9/B10)*100</f>
        <v>9.2436974789915975</v>
      </c>
      <c r="C11">
        <f>(C9/C10)*100</f>
        <v>9.7222222222222232</v>
      </c>
      <c r="D11">
        <f>(D9/D10)*100</f>
        <v>8.3333333333333321</v>
      </c>
      <c r="F11">
        <f>(F9/F10)*100</f>
        <v>8.235294117647058</v>
      </c>
      <c r="G11">
        <f>(G9/G10)*100</f>
        <v>11.25</v>
      </c>
      <c r="H11">
        <f>(H9/H10)*100</f>
        <v>9.5744680851063837</v>
      </c>
      <c r="J11">
        <f>(J9/J10)*100</f>
        <v>9.2105263157894726</v>
      </c>
      <c r="K11">
        <f>(K9/K10)*100</f>
        <v>6.9767441860465116</v>
      </c>
      <c r="L11">
        <f>(L9/L10)*100</f>
        <v>8</v>
      </c>
      <c r="N11">
        <f t="shared" si="9"/>
        <v>8.8965059708093772</v>
      </c>
      <c r="O11">
        <f t="shared" si="9"/>
        <v>9.3163221360895765</v>
      </c>
      <c r="P11">
        <f t="shared" si="9"/>
        <v>8.6359338061465731</v>
      </c>
      <c r="R11">
        <f>(R10/SQRT(3))</f>
        <v>0.3307445729405124</v>
      </c>
      <c r="S11">
        <f t="shared" ref="S11:T11" si="13">(S10/SQRT(3))</f>
        <v>1.2501659853547098</v>
      </c>
      <c r="T11">
        <f t="shared" si="13"/>
        <v>0.47903121762043088</v>
      </c>
      <c r="U11" s="82" t="s">
        <v>59</v>
      </c>
      <c r="W11" t="s">
        <v>228</v>
      </c>
      <c r="X11">
        <f>(X9/X10)*100</f>
        <v>12.068965517241379</v>
      </c>
      <c r="Y11">
        <f t="shared" ref="Y11:Z11" si="14">(Y9/Y10)*100</f>
        <v>11.428571428571429</v>
      </c>
      <c r="Z11">
        <f t="shared" si="14"/>
        <v>8.8888888888888893</v>
      </c>
      <c r="AB11">
        <f>(AB9/AB10)*100</f>
        <v>7.5</v>
      </c>
      <c r="AC11">
        <f t="shared" ref="AC11:AD11" si="15">(AC9/AC10)*100</f>
        <v>10.227272727272728</v>
      </c>
      <c r="AD11">
        <f t="shared" si="15"/>
        <v>9.0909090909090917</v>
      </c>
      <c r="AF11">
        <f>(AF9/AF10)*100</f>
        <v>8.5714285714285712</v>
      </c>
      <c r="AG11">
        <f t="shared" ref="AG11:AH11" si="16">(AG9/AG10)*100</f>
        <v>14.814814814814813</v>
      </c>
      <c r="AH11">
        <f t="shared" si="16"/>
        <v>12.903225806451612</v>
      </c>
      <c r="AJ11">
        <f>(AJ9/AJ10)*100</f>
        <v>9.134615384615385</v>
      </c>
      <c r="AK11">
        <f t="shared" ref="AK11:AL11" si="17">(AK9/AK10)*100</f>
        <v>12.13389121338912</v>
      </c>
      <c r="AL11">
        <f t="shared" si="17"/>
        <v>10.043668122270743</v>
      </c>
      <c r="AM11" s="14"/>
      <c r="AN11">
        <f>((AN10/SQRT(3)))</f>
        <v>1.3795363506293585</v>
      </c>
      <c r="AO11">
        <f t="shared" ref="AO11:AP11" si="18">((AO10/SQRT(3)))</f>
        <v>1.373464905622692</v>
      </c>
      <c r="AP11">
        <f t="shared" si="18"/>
        <v>1.3057452488763379</v>
      </c>
      <c r="AQ11" s="82" t="s">
        <v>59</v>
      </c>
    </row>
    <row r="13" spans="1:43" x14ac:dyDescent="0.2">
      <c r="A13" s="12" t="s">
        <v>217</v>
      </c>
      <c r="B13" s="14" t="s">
        <v>66</v>
      </c>
      <c r="C13" s="14" t="s">
        <v>28</v>
      </c>
      <c r="D13" s="14" t="s">
        <v>30</v>
      </c>
      <c r="E13" s="14"/>
      <c r="F13" s="14" t="s">
        <v>66</v>
      </c>
      <c r="G13" s="14" t="s">
        <v>28</v>
      </c>
      <c r="H13" s="14" t="s">
        <v>30</v>
      </c>
      <c r="I13" s="14"/>
      <c r="J13" s="14" t="s">
        <v>66</v>
      </c>
      <c r="K13" s="14" t="s">
        <v>28</v>
      </c>
      <c r="L13" s="14" t="s">
        <v>30</v>
      </c>
      <c r="M13" s="14"/>
      <c r="N13" s="14" t="s">
        <v>66</v>
      </c>
      <c r="O13" s="14" t="s">
        <v>28</v>
      </c>
      <c r="P13" s="14" t="s">
        <v>30</v>
      </c>
      <c r="W13" s="12" t="s">
        <v>224</v>
      </c>
      <c r="X13" s="14" t="s">
        <v>66</v>
      </c>
      <c r="Y13" s="14" t="s">
        <v>28</v>
      </c>
      <c r="Z13" s="14" t="s">
        <v>30</v>
      </c>
      <c r="AA13" s="14"/>
      <c r="AB13" s="14" t="s">
        <v>66</v>
      </c>
      <c r="AC13" s="14" t="s">
        <v>28</v>
      </c>
      <c r="AD13" s="14" t="s">
        <v>30</v>
      </c>
      <c r="AE13" s="14"/>
      <c r="AF13" s="14" t="s">
        <v>66</v>
      </c>
      <c r="AG13" s="14" t="s">
        <v>28</v>
      </c>
      <c r="AH13" s="14" t="s">
        <v>30</v>
      </c>
      <c r="AI13" s="14"/>
      <c r="AJ13" s="14" t="s">
        <v>66</v>
      </c>
      <c r="AK13" s="14" t="s">
        <v>28</v>
      </c>
      <c r="AL13" s="14" t="s">
        <v>30</v>
      </c>
    </row>
    <row r="14" spans="1:43" x14ac:dyDescent="0.2">
      <c r="A14" s="80" t="s">
        <v>214</v>
      </c>
      <c r="B14">
        <v>6</v>
      </c>
      <c r="C14" s="64">
        <v>5</v>
      </c>
      <c r="D14">
        <v>3</v>
      </c>
      <c r="F14">
        <v>7</v>
      </c>
      <c r="G14">
        <v>7</v>
      </c>
      <c r="H14">
        <v>4</v>
      </c>
      <c r="J14">
        <v>5</v>
      </c>
      <c r="K14">
        <v>7</v>
      </c>
      <c r="L14">
        <v>4</v>
      </c>
      <c r="N14">
        <f t="shared" ref="N14:P16" si="19">AVERAGE(B14,F14,J14)</f>
        <v>6</v>
      </c>
      <c r="O14">
        <f t="shared" si="19"/>
        <v>6.333333333333333</v>
      </c>
      <c r="P14">
        <f t="shared" si="19"/>
        <v>3.6666666666666665</v>
      </c>
      <c r="R14" s="82" t="s">
        <v>66</v>
      </c>
      <c r="S14" s="82" t="s">
        <v>28</v>
      </c>
      <c r="T14" s="82" t="s">
        <v>30</v>
      </c>
      <c r="W14" s="80" t="s">
        <v>214</v>
      </c>
      <c r="X14">
        <v>7</v>
      </c>
      <c r="Y14" s="64">
        <v>8</v>
      </c>
      <c r="Z14">
        <v>5</v>
      </c>
      <c r="AB14">
        <v>6</v>
      </c>
      <c r="AC14">
        <v>7</v>
      </c>
      <c r="AD14">
        <v>5</v>
      </c>
      <c r="AF14">
        <v>5</v>
      </c>
      <c r="AG14">
        <v>8</v>
      </c>
      <c r="AH14">
        <v>6</v>
      </c>
      <c r="AJ14">
        <f>AVERAGE(X14,AB14,AF14)</f>
        <v>6</v>
      </c>
      <c r="AK14">
        <f t="shared" ref="AK14:AL15" si="20">AVERAGE(Y14,AC14,AG14)</f>
        <v>7.666666666666667</v>
      </c>
      <c r="AL14">
        <f t="shared" si="20"/>
        <v>5.333333333333333</v>
      </c>
      <c r="AN14" s="14" t="s">
        <v>66</v>
      </c>
      <c r="AO14" s="14" t="s">
        <v>28</v>
      </c>
      <c r="AP14" s="14" t="s">
        <v>30</v>
      </c>
    </row>
    <row r="15" spans="1:43" x14ac:dyDescent="0.2">
      <c r="A15" s="14" t="s">
        <v>122</v>
      </c>
      <c r="B15">
        <v>77</v>
      </c>
      <c r="C15" s="64">
        <v>62</v>
      </c>
      <c r="D15">
        <v>47</v>
      </c>
      <c r="F15">
        <v>80</v>
      </c>
      <c r="G15">
        <v>80</v>
      </c>
      <c r="H15">
        <v>60</v>
      </c>
      <c r="J15">
        <v>72</v>
      </c>
      <c r="K15">
        <v>75</v>
      </c>
      <c r="L15">
        <v>65</v>
      </c>
      <c r="N15">
        <f t="shared" si="19"/>
        <v>76.333333333333329</v>
      </c>
      <c r="O15">
        <f t="shared" si="19"/>
        <v>72.333333333333329</v>
      </c>
      <c r="P15">
        <f t="shared" si="19"/>
        <v>57.333333333333336</v>
      </c>
      <c r="R15">
        <f>STDEVA(B16,F16,J16)</f>
        <v>0.90333635958742042</v>
      </c>
      <c r="S15">
        <f>STDEVA(C16,G16,K16)</f>
        <v>0.63509356437524178</v>
      </c>
      <c r="T15">
        <f t="shared" ref="T15" si="21">STDEVA(D16,H16,L16)</f>
        <v>0.25689344806561637</v>
      </c>
      <c r="U15" s="82" t="s">
        <v>63</v>
      </c>
      <c r="W15" s="14" t="s">
        <v>122</v>
      </c>
      <c r="X15">
        <v>94</v>
      </c>
      <c r="Y15" s="64">
        <v>85</v>
      </c>
      <c r="Z15">
        <v>61</v>
      </c>
      <c r="AB15">
        <v>74</v>
      </c>
      <c r="AC15">
        <v>80</v>
      </c>
      <c r="AD15">
        <v>69</v>
      </c>
      <c r="AF15">
        <v>65</v>
      </c>
      <c r="AG15">
        <v>105</v>
      </c>
      <c r="AH15">
        <v>77</v>
      </c>
      <c r="AJ15">
        <f>AVERAGE(X15,AB15,AF15)</f>
        <v>77.666666666666671</v>
      </c>
      <c r="AK15">
        <f t="shared" si="20"/>
        <v>90</v>
      </c>
      <c r="AL15">
        <f t="shared" si="20"/>
        <v>69</v>
      </c>
      <c r="AN15">
        <f>STDEVA(X16,AB16,AF16)</f>
        <v>0.33428455732451351</v>
      </c>
      <c r="AO15">
        <f>STDEVA(Y16,AC16,AG16)</f>
        <v>0.90653372499893148</v>
      </c>
      <c r="AP15">
        <f>STDEVA(Z16,AD16,AH16)</f>
        <v>0.47692020910601052</v>
      </c>
      <c r="AQ15" s="82" t="s">
        <v>63</v>
      </c>
    </row>
    <row r="16" spans="1:43" x14ac:dyDescent="0.2">
      <c r="A16" t="s">
        <v>227</v>
      </c>
      <c r="B16">
        <f>(B14/B15)*100</f>
        <v>7.7922077922077921</v>
      </c>
      <c r="C16">
        <f>(C14/C15)*100</f>
        <v>8.064516129032258</v>
      </c>
      <c r="D16">
        <f>(D14/D15)*100</f>
        <v>6.3829787234042552</v>
      </c>
      <c r="F16">
        <f>(F14/F15)*100</f>
        <v>8.75</v>
      </c>
      <c r="G16">
        <f>(G14/G15)*100</f>
        <v>8.75</v>
      </c>
      <c r="H16">
        <f>(H14/H15)*100</f>
        <v>6.666666666666667</v>
      </c>
      <c r="J16">
        <f>(J14/J15)*100</f>
        <v>6.9444444444444446</v>
      </c>
      <c r="K16">
        <f>(K14/K15)*100</f>
        <v>9.3333333333333339</v>
      </c>
      <c r="L16">
        <f>(L14/L15)*100</f>
        <v>6.1538461538461542</v>
      </c>
      <c r="N16">
        <f t="shared" si="19"/>
        <v>7.8288840788840774</v>
      </c>
      <c r="O16">
        <f t="shared" si="19"/>
        <v>8.7159498207885306</v>
      </c>
      <c r="P16">
        <f t="shared" si="19"/>
        <v>6.4011638479723585</v>
      </c>
      <c r="R16">
        <f>(R15/SQRT(3))</f>
        <v>0.52154149037657382</v>
      </c>
      <c r="S16">
        <f t="shared" ref="S16:T16" si="22">(S15/SQRT(3))</f>
        <v>0.36667144035264476</v>
      </c>
      <c r="T16">
        <f t="shared" si="22"/>
        <v>0.14831750139373476</v>
      </c>
      <c r="U16" s="82" t="s">
        <v>59</v>
      </c>
      <c r="W16" t="s">
        <v>227</v>
      </c>
      <c r="X16">
        <f>(X14/X15)*100</f>
        <v>7.4468085106382977</v>
      </c>
      <c r="Y16">
        <f t="shared" ref="Y16:Z16" si="23">(Y14/Y15)*100</f>
        <v>9.4117647058823533</v>
      </c>
      <c r="Z16">
        <f t="shared" si="23"/>
        <v>8.1967213114754092</v>
      </c>
      <c r="AB16">
        <f>(AB14/AB15)*100</f>
        <v>8.1081081081081088</v>
      </c>
      <c r="AC16">
        <f t="shared" ref="AC16:AD16" si="24">(AC14/AC15)*100</f>
        <v>8.75</v>
      </c>
      <c r="AD16">
        <f t="shared" si="24"/>
        <v>7.2463768115942031</v>
      </c>
      <c r="AF16">
        <f>(AF14/AF15)*100</f>
        <v>7.6923076923076925</v>
      </c>
      <c r="AG16">
        <f t="shared" ref="AG16:AH16" si="25">(AG14/AG15)*100</f>
        <v>7.6190476190476195</v>
      </c>
      <c r="AH16">
        <f t="shared" si="25"/>
        <v>7.7922077922077921</v>
      </c>
      <c r="AJ16">
        <f>(AJ14/AJ15)*100</f>
        <v>7.7253218884120161</v>
      </c>
      <c r="AK16">
        <f t="shared" ref="AK16:AL16" si="26">(AK14/AK15)*100</f>
        <v>8.518518518518519</v>
      </c>
      <c r="AL16">
        <f t="shared" si="26"/>
        <v>7.7294685990338161</v>
      </c>
      <c r="AN16">
        <f>((AN15/SQRT(3)))</f>
        <v>0.19299927915724277</v>
      </c>
      <c r="AO16">
        <f t="shared" ref="AO16:AP16" si="27">((AO15/SQRT(3)))</f>
        <v>0.52338749015760733</v>
      </c>
      <c r="AP16">
        <f t="shared" si="27"/>
        <v>0.27535001110932777</v>
      </c>
      <c r="AQ16" s="82" t="s">
        <v>59</v>
      </c>
    </row>
    <row r="17" spans="1:43" x14ac:dyDescent="0.2">
      <c r="A17" s="14"/>
      <c r="W17" s="14"/>
    </row>
    <row r="18" spans="1:43" x14ac:dyDescent="0.2">
      <c r="B18" s="14" t="s">
        <v>66</v>
      </c>
      <c r="C18" s="14" t="s">
        <v>28</v>
      </c>
      <c r="D18" s="14" t="s">
        <v>30</v>
      </c>
      <c r="E18" s="14"/>
      <c r="F18" s="14" t="s">
        <v>66</v>
      </c>
      <c r="G18" s="14" t="s">
        <v>28</v>
      </c>
      <c r="H18" s="14" t="s">
        <v>30</v>
      </c>
      <c r="I18" s="14"/>
      <c r="J18" s="14" t="s">
        <v>66</v>
      </c>
      <c r="K18" s="14" t="s">
        <v>28</v>
      </c>
      <c r="L18" s="14" t="s">
        <v>30</v>
      </c>
      <c r="M18" s="14"/>
      <c r="N18" s="14" t="s">
        <v>66</v>
      </c>
      <c r="O18" s="14" t="s">
        <v>28</v>
      </c>
      <c r="P18" s="14" t="s">
        <v>30</v>
      </c>
      <c r="X18" s="14" t="s">
        <v>66</v>
      </c>
      <c r="Y18" s="14" t="s">
        <v>28</v>
      </c>
      <c r="Z18" s="14" t="s">
        <v>30</v>
      </c>
      <c r="AA18" s="14"/>
      <c r="AB18" s="14" t="s">
        <v>66</v>
      </c>
      <c r="AC18" s="14" t="s">
        <v>28</v>
      </c>
      <c r="AD18" s="14" t="s">
        <v>30</v>
      </c>
      <c r="AE18" s="14"/>
      <c r="AF18" s="14" t="s">
        <v>66</v>
      </c>
      <c r="AG18" s="14" t="s">
        <v>28</v>
      </c>
      <c r="AH18" s="14" t="s">
        <v>30</v>
      </c>
      <c r="AI18" s="14"/>
      <c r="AJ18" s="14" t="s">
        <v>66</v>
      </c>
      <c r="AK18" s="14" t="s">
        <v>28</v>
      </c>
      <c r="AL18" s="14" t="s">
        <v>30</v>
      </c>
    </row>
    <row r="19" spans="1:43" x14ac:dyDescent="0.2">
      <c r="A19" s="80" t="s">
        <v>215</v>
      </c>
      <c r="B19">
        <v>9</v>
      </c>
      <c r="C19">
        <v>7</v>
      </c>
      <c r="D19">
        <v>3</v>
      </c>
      <c r="F19">
        <v>8</v>
      </c>
      <c r="G19">
        <v>10</v>
      </c>
      <c r="H19">
        <v>7</v>
      </c>
      <c r="J19">
        <v>6</v>
      </c>
      <c r="K19">
        <v>6</v>
      </c>
      <c r="L19">
        <v>5</v>
      </c>
      <c r="N19">
        <f t="shared" ref="N19:P21" si="28">AVERAGE(B19,F19,J19)</f>
        <v>7.666666666666667</v>
      </c>
      <c r="O19">
        <f t="shared" si="28"/>
        <v>7.666666666666667</v>
      </c>
      <c r="P19">
        <f t="shared" si="28"/>
        <v>5</v>
      </c>
      <c r="R19" s="82" t="s">
        <v>66</v>
      </c>
      <c r="S19" s="82" t="s">
        <v>28</v>
      </c>
      <c r="T19" s="82" t="s">
        <v>30</v>
      </c>
      <c r="W19" s="80" t="s">
        <v>215</v>
      </c>
      <c r="X19">
        <v>9</v>
      </c>
      <c r="Y19">
        <v>10</v>
      </c>
      <c r="Z19">
        <v>9</v>
      </c>
      <c r="AB19">
        <v>7</v>
      </c>
      <c r="AC19">
        <v>8</v>
      </c>
      <c r="AD19">
        <v>5</v>
      </c>
      <c r="AF19">
        <v>5</v>
      </c>
      <c r="AG19">
        <v>11</v>
      </c>
      <c r="AH19">
        <v>7</v>
      </c>
      <c r="AJ19">
        <f>AVERAGE(X19,AB19,AF19)</f>
        <v>7</v>
      </c>
      <c r="AK19">
        <f t="shared" ref="AK19:AL20" si="29">AVERAGE(Y19,AC19,AG19)</f>
        <v>9.6666666666666661</v>
      </c>
      <c r="AL19">
        <f t="shared" si="29"/>
        <v>7</v>
      </c>
      <c r="AN19" s="14" t="s">
        <v>66</v>
      </c>
      <c r="AO19" s="14" t="s">
        <v>28</v>
      </c>
      <c r="AP19" s="14" t="s">
        <v>30</v>
      </c>
    </row>
    <row r="20" spans="1:43" x14ac:dyDescent="0.2">
      <c r="A20" s="14" t="s">
        <v>122</v>
      </c>
      <c r="B20">
        <f>B15</f>
        <v>77</v>
      </c>
      <c r="C20">
        <v>62</v>
      </c>
      <c r="D20">
        <f>D15</f>
        <v>47</v>
      </c>
      <c r="F20">
        <v>80</v>
      </c>
      <c r="G20">
        <f>G15</f>
        <v>80</v>
      </c>
      <c r="H20">
        <v>60</v>
      </c>
      <c r="J20">
        <f>J15</f>
        <v>72</v>
      </c>
      <c r="K20">
        <f>K15</f>
        <v>75</v>
      </c>
      <c r="L20">
        <f>L15</f>
        <v>65</v>
      </c>
      <c r="N20">
        <f t="shared" si="28"/>
        <v>76.333333333333329</v>
      </c>
      <c r="O20">
        <f t="shared" si="28"/>
        <v>72.333333333333329</v>
      </c>
      <c r="P20">
        <f t="shared" si="28"/>
        <v>57.333333333333336</v>
      </c>
      <c r="R20">
        <f>STDEVA(B21,F21,J21)</f>
        <v>1.6775008145572283</v>
      </c>
      <c r="S20">
        <f>STDEVA(C21,G21,K21)</f>
        <v>2.3287887460938608</v>
      </c>
      <c r="T20">
        <f t="shared" ref="T20" si="30">STDEVA(D21,H21,L21)</f>
        <v>2.7515822686730003</v>
      </c>
      <c r="U20" s="82" t="s">
        <v>63</v>
      </c>
      <c r="W20" s="14" t="s">
        <v>122</v>
      </c>
      <c r="X20">
        <v>94</v>
      </c>
      <c r="Y20">
        <v>85</v>
      </c>
      <c r="Z20">
        <v>61</v>
      </c>
      <c r="AB20">
        <f>AB15</f>
        <v>74</v>
      </c>
      <c r="AC20">
        <f>AC15</f>
        <v>80</v>
      </c>
      <c r="AD20">
        <v>69</v>
      </c>
      <c r="AF20">
        <v>65</v>
      </c>
      <c r="AG20">
        <v>105</v>
      </c>
      <c r="AH20">
        <v>77</v>
      </c>
      <c r="AJ20">
        <f>AVERAGE(X20,AB20,AF20)</f>
        <v>77.666666666666671</v>
      </c>
      <c r="AK20">
        <f t="shared" si="29"/>
        <v>90</v>
      </c>
      <c r="AL20">
        <f t="shared" si="29"/>
        <v>69</v>
      </c>
      <c r="AN20">
        <f>STDEVA(X21,AB21,AF21)</f>
        <v>1.0550339723077586</v>
      </c>
      <c r="AO20">
        <f>STDEVA(Y21,AC21,AG21)</f>
        <v>0.9129819432993187</v>
      </c>
      <c r="AP20">
        <f>STDEVA(Z21,AD21,AH21)</f>
        <v>3.9123712948511336</v>
      </c>
      <c r="AQ20" s="82" t="s">
        <v>63</v>
      </c>
    </row>
    <row r="21" spans="1:43" x14ac:dyDescent="0.2">
      <c r="A21" t="s">
        <v>228</v>
      </c>
      <c r="B21">
        <f>(B19/B20)*100</f>
        <v>11.688311688311687</v>
      </c>
      <c r="C21">
        <f>(C19/C20)*100</f>
        <v>11.29032258064516</v>
      </c>
      <c r="D21">
        <f>(D19/D20)*100</f>
        <v>6.3829787234042552</v>
      </c>
      <c r="F21">
        <f>(F19/F20)*100</f>
        <v>10</v>
      </c>
      <c r="G21">
        <f>(G19/G20)*100</f>
        <v>12.5</v>
      </c>
      <c r="H21">
        <f>(H19/H20)*100</f>
        <v>11.666666666666666</v>
      </c>
      <c r="J21">
        <f>(J19/J20)*100</f>
        <v>8.3333333333333321</v>
      </c>
      <c r="K21">
        <f>(K19/K20)*100</f>
        <v>8</v>
      </c>
      <c r="L21">
        <f>(L19/L20)*100</f>
        <v>7.6923076923076925</v>
      </c>
      <c r="N21">
        <f t="shared" si="28"/>
        <v>10.007215007215006</v>
      </c>
      <c r="O21">
        <f t="shared" si="28"/>
        <v>10.596774193548386</v>
      </c>
      <c r="P21">
        <f t="shared" si="28"/>
        <v>8.5806510274595382</v>
      </c>
      <c r="R21">
        <f>(R20/SQRT(3))</f>
        <v>0.96850554685043233</v>
      </c>
      <c r="S21">
        <f t="shared" ref="S21:T21" si="31">(S20/SQRT(3))</f>
        <v>1.3445268094430616</v>
      </c>
      <c r="T21">
        <f t="shared" si="31"/>
        <v>1.588626763515758</v>
      </c>
      <c r="U21" s="82" t="s">
        <v>59</v>
      </c>
      <c r="W21" t="s">
        <v>228</v>
      </c>
      <c r="X21">
        <f>(X19/X20)*100</f>
        <v>9.5744680851063837</v>
      </c>
      <c r="Y21">
        <f t="shared" ref="Y21:Z21" si="32">(Y19/Y20)*100</f>
        <v>11.76470588235294</v>
      </c>
      <c r="Z21">
        <f t="shared" si="32"/>
        <v>14.754098360655737</v>
      </c>
      <c r="AB21">
        <f>(AB19/AB20)*100</f>
        <v>9.4594594594594597</v>
      </c>
      <c r="AC21">
        <f t="shared" ref="AC21:AD21" si="33">(AC19/AC20)*100</f>
        <v>10</v>
      </c>
      <c r="AD21">
        <f t="shared" si="33"/>
        <v>7.2463768115942031</v>
      </c>
      <c r="AF21">
        <f>(AF19/AF20)*100</f>
        <v>7.6923076923076925</v>
      </c>
      <c r="AG21">
        <f t="shared" ref="AG21:AH21" si="34">(AG19/AG20)*100</f>
        <v>10.476190476190476</v>
      </c>
      <c r="AH21">
        <f t="shared" si="34"/>
        <v>9.0909090909090917</v>
      </c>
      <c r="AJ21">
        <f>(AJ19/AJ20)*100</f>
        <v>9.012875536480685</v>
      </c>
      <c r="AK21">
        <f t="shared" ref="AK21:AL21" si="35">(AK19/AK20)*100</f>
        <v>10.74074074074074</v>
      </c>
      <c r="AL21">
        <f t="shared" si="35"/>
        <v>10.144927536231885</v>
      </c>
      <c r="AN21">
        <f>((AN20/SQRT(3)))</f>
        <v>0.60912414791608471</v>
      </c>
      <c r="AO21">
        <f t="shared" ref="AO21:AP21" si="36">((AO20/SQRT(3)))</f>
        <v>0.52711037072912936</v>
      </c>
      <c r="AP21">
        <f t="shared" si="36"/>
        <v>2.2588086202520667</v>
      </c>
      <c r="AQ21" s="82" t="s">
        <v>59</v>
      </c>
    </row>
    <row r="24" spans="1:43" x14ac:dyDescent="0.2">
      <c r="A24" s="80" t="s">
        <v>226</v>
      </c>
      <c r="C24" t="s">
        <v>31</v>
      </c>
      <c r="G24" s="110" t="s">
        <v>218</v>
      </c>
      <c r="H24" s="110"/>
      <c r="L24" s="80" t="s">
        <v>225</v>
      </c>
      <c r="N24" t="s">
        <v>31</v>
      </c>
      <c r="R24" s="110" t="s">
        <v>218</v>
      </c>
      <c r="S24" s="110"/>
      <c r="W24" s="80" t="s">
        <v>226</v>
      </c>
      <c r="Y24" t="s">
        <v>31</v>
      </c>
      <c r="AB24" s="110" t="s">
        <v>218</v>
      </c>
      <c r="AC24" s="110"/>
      <c r="AH24" s="80" t="s">
        <v>225</v>
      </c>
      <c r="AJ24" t="s">
        <v>31</v>
      </c>
      <c r="AM24" s="110" t="s">
        <v>218</v>
      </c>
      <c r="AN24" s="110"/>
    </row>
    <row r="26" spans="1:43" ht="16" thickBot="1" x14ac:dyDescent="0.25">
      <c r="C26" t="s">
        <v>34</v>
      </c>
      <c r="N26" t="s">
        <v>34</v>
      </c>
      <c r="Y26" t="s">
        <v>34</v>
      </c>
      <c r="AJ26" t="s">
        <v>34</v>
      </c>
    </row>
    <row r="27" spans="1:43" x14ac:dyDescent="0.2">
      <c r="C27" s="3" t="s">
        <v>35</v>
      </c>
      <c r="D27" s="3" t="s">
        <v>36</v>
      </c>
      <c r="E27" s="3" t="s">
        <v>37</v>
      </c>
      <c r="F27" s="3" t="s">
        <v>38</v>
      </c>
      <c r="G27" s="3" t="s">
        <v>39</v>
      </c>
      <c r="J27" s="114" t="s">
        <v>60</v>
      </c>
      <c r="K27" s="114"/>
      <c r="N27" s="3" t="s">
        <v>35</v>
      </c>
      <c r="O27" s="3" t="s">
        <v>36</v>
      </c>
      <c r="P27" s="3" t="s">
        <v>37</v>
      </c>
      <c r="Q27" s="3" t="s">
        <v>38</v>
      </c>
      <c r="R27" s="3" t="s">
        <v>39</v>
      </c>
      <c r="Y27" s="3" t="s">
        <v>35</v>
      </c>
      <c r="Z27" s="3" t="s">
        <v>36</v>
      </c>
      <c r="AA27" s="3" t="s">
        <v>37</v>
      </c>
      <c r="AB27" s="3" t="s">
        <v>38</v>
      </c>
      <c r="AC27" s="3" t="s">
        <v>39</v>
      </c>
      <c r="AJ27" s="3" t="s">
        <v>35</v>
      </c>
      <c r="AK27" s="3" t="s">
        <v>36</v>
      </c>
      <c r="AL27" s="3" t="s">
        <v>37</v>
      </c>
      <c r="AM27" s="3" t="s">
        <v>38</v>
      </c>
      <c r="AN27" s="3" t="s">
        <v>39</v>
      </c>
    </row>
    <row r="28" spans="1:43" x14ac:dyDescent="0.2">
      <c r="C28" t="s">
        <v>41</v>
      </c>
      <c r="D28">
        <v>3</v>
      </c>
      <c r="E28">
        <v>12.994250331711632</v>
      </c>
      <c r="F28">
        <v>4.3314167772372105</v>
      </c>
      <c r="G28">
        <v>0.76409250354858926</v>
      </c>
      <c r="J28" s="11" t="s">
        <v>54</v>
      </c>
      <c r="K28" s="12"/>
      <c r="N28" t="s">
        <v>41</v>
      </c>
      <c r="O28">
        <v>3</v>
      </c>
      <c r="P28">
        <v>26.68951791242813</v>
      </c>
      <c r="Q28">
        <v>8.8965059708093772</v>
      </c>
      <c r="R28">
        <v>0.32817591758880565</v>
      </c>
      <c r="Y28" t="s">
        <v>41</v>
      </c>
      <c r="Z28">
        <v>3</v>
      </c>
      <c r="AA28">
        <v>15.886699507389164</v>
      </c>
      <c r="AB28">
        <v>5.2955665024630543</v>
      </c>
      <c r="AC28">
        <v>0.13892596277512198</v>
      </c>
      <c r="AJ28" t="s">
        <v>41</v>
      </c>
      <c r="AK28">
        <v>3</v>
      </c>
      <c r="AL28">
        <v>28.14039408866995</v>
      </c>
      <c r="AM28">
        <v>9.3801313628899834</v>
      </c>
      <c r="AN28">
        <v>5.7093616281233039</v>
      </c>
    </row>
    <row r="29" spans="1:43" ht="16" thickBot="1" x14ac:dyDescent="0.25">
      <c r="C29" s="4" t="s">
        <v>42</v>
      </c>
      <c r="D29" s="4">
        <v>3</v>
      </c>
      <c r="E29" s="4">
        <v>23.486652236652233</v>
      </c>
      <c r="F29" s="4">
        <v>7.8288840788840774</v>
      </c>
      <c r="G29" s="4">
        <v>0.81601657855265342</v>
      </c>
      <c r="N29" s="4" t="s">
        <v>42</v>
      </c>
      <c r="O29" s="4">
        <v>3</v>
      </c>
      <c r="P29" s="4">
        <v>30.021645021645018</v>
      </c>
      <c r="Q29" s="4">
        <v>10.007215007215006</v>
      </c>
      <c r="R29" s="4">
        <v>2.8140089828401642</v>
      </c>
      <c r="Y29" s="4" t="s">
        <v>42</v>
      </c>
      <c r="Z29" s="4">
        <v>3</v>
      </c>
      <c r="AA29" s="4">
        <v>23.247224311054101</v>
      </c>
      <c r="AB29" s="4">
        <v>7.7490747703513669</v>
      </c>
      <c r="AC29" s="4">
        <v>0.11174616526564594</v>
      </c>
      <c r="AJ29" s="4" t="s">
        <v>42</v>
      </c>
      <c r="AK29" s="4">
        <v>3</v>
      </c>
      <c r="AL29" s="4">
        <v>26.726235236873535</v>
      </c>
      <c r="AM29" s="4">
        <v>8.9087450789578444</v>
      </c>
      <c r="AN29" s="4">
        <v>1.1130966827234885</v>
      </c>
    </row>
    <row r="32" spans="1:43" ht="16" thickBot="1" x14ac:dyDescent="0.25">
      <c r="C32" t="s">
        <v>44</v>
      </c>
      <c r="N32" t="s">
        <v>44</v>
      </c>
      <c r="Y32" t="s">
        <v>44</v>
      </c>
      <c r="AJ32" t="s">
        <v>44</v>
      </c>
    </row>
    <row r="33" spans="3:42" x14ac:dyDescent="0.2">
      <c r="C33" s="3" t="s">
        <v>45</v>
      </c>
      <c r="D33" s="3" t="s">
        <v>46</v>
      </c>
      <c r="E33" s="3" t="s">
        <v>47</v>
      </c>
      <c r="F33" s="3" t="s">
        <v>48</v>
      </c>
      <c r="G33" s="3" t="s">
        <v>49</v>
      </c>
      <c r="H33" s="3" t="s">
        <v>50</v>
      </c>
      <c r="I33" s="3" t="s">
        <v>51</v>
      </c>
      <c r="N33" s="3" t="s">
        <v>45</v>
      </c>
      <c r="O33" s="3" t="s">
        <v>46</v>
      </c>
      <c r="P33" s="3" t="s">
        <v>47</v>
      </c>
      <c r="Q33" s="3" t="s">
        <v>48</v>
      </c>
      <c r="R33" s="3" t="s">
        <v>49</v>
      </c>
      <c r="S33" s="3" t="s">
        <v>50</v>
      </c>
      <c r="T33" s="3" t="s">
        <v>51</v>
      </c>
      <c r="Y33" s="3" t="s">
        <v>45</v>
      </c>
      <c r="Z33" s="3" t="s">
        <v>46</v>
      </c>
      <c r="AA33" s="3" t="s">
        <v>47</v>
      </c>
      <c r="AB33" s="3" t="s">
        <v>48</v>
      </c>
      <c r="AC33" s="3" t="s">
        <v>49</v>
      </c>
      <c r="AD33" s="3" t="s">
        <v>50</v>
      </c>
      <c r="AE33" s="3" t="s">
        <v>51</v>
      </c>
      <c r="AJ33" s="3" t="s">
        <v>45</v>
      </c>
      <c r="AK33" s="3" t="s">
        <v>46</v>
      </c>
      <c r="AL33" s="3" t="s">
        <v>47</v>
      </c>
      <c r="AM33" s="3" t="s">
        <v>48</v>
      </c>
      <c r="AN33" s="3" t="s">
        <v>49</v>
      </c>
      <c r="AO33" s="3" t="s">
        <v>50</v>
      </c>
      <c r="AP33" s="3" t="s">
        <v>51</v>
      </c>
    </row>
    <row r="34" spans="3:42" x14ac:dyDescent="0.2">
      <c r="C34" t="s">
        <v>52</v>
      </c>
      <c r="D34">
        <v>18.348416289133539</v>
      </c>
      <c r="E34">
        <v>1</v>
      </c>
      <c r="F34">
        <v>18.348416289133539</v>
      </c>
      <c r="G34">
        <v>23.224240018586091</v>
      </c>
      <c r="H34">
        <v>8.528273251586246E-3</v>
      </c>
      <c r="I34">
        <v>7.708647422176786</v>
      </c>
      <c r="N34" t="s">
        <v>52</v>
      </c>
      <c r="O34">
        <v>1.8505118453296863</v>
      </c>
      <c r="P34">
        <v>1</v>
      </c>
      <c r="Q34">
        <v>1.8505118453296863</v>
      </c>
      <c r="R34">
        <v>1.1778503837104317</v>
      </c>
      <c r="S34">
        <v>0.33882683321605139</v>
      </c>
      <c r="T34">
        <v>7.708647422176786</v>
      </c>
      <c r="Y34" t="s">
        <v>52</v>
      </c>
      <c r="Z34">
        <v>9.0295542308944583</v>
      </c>
      <c r="AA34">
        <v>1</v>
      </c>
      <c r="AB34">
        <v>9.0295542308944583</v>
      </c>
      <c r="AC34">
        <v>72.042746048144139</v>
      </c>
      <c r="AD34">
        <v>1.0563650963225642E-3</v>
      </c>
      <c r="AE34">
        <v>7.708647422176786</v>
      </c>
      <c r="AJ34" t="s">
        <v>52</v>
      </c>
      <c r="AK34">
        <v>0.3333075430190231</v>
      </c>
      <c r="AL34">
        <v>1</v>
      </c>
      <c r="AM34">
        <v>0.3333075430190231</v>
      </c>
      <c r="AN34">
        <v>9.7708927730377995E-2</v>
      </c>
      <c r="AO34">
        <v>0.77021474650048549</v>
      </c>
      <c r="AP34">
        <v>7.708647422176786</v>
      </c>
    </row>
    <row r="35" spans="3:42" x14ac:dyDescent="0.2">
      <c r="C35" t="s">
        <v>53</v>
      </c>
      <c r="D35">
        <v>3.1602181642024907</v>
      </c>
      <c r="E35">
        <v>4</v>
      </c>
      <c r="F35">
        <v>0.79005454105062267</v>
      </c>
      <c r="N35" t="s">
        <v>53</v>
      </c>
      <c r="O35">
        <v>6.284369800857915</v>
      </c>
      <c r="P35">
        <v>4</v>
      </c>
      <c r="Q35">
        <v>1.5710924502144787</v>
      </c>
      <c r="Y35" t="s">
        <v>53</v>
      </c>
      <c r="Z35">
        <v>0.50134425608153588</v>
      </c>
      <c r="AA35">
        <v>4</v>
      </c>
      <c r="AB35">
        <v>0.12533606402038397</v>
      </c>
      <c r="AJ35" t="s">
        <v>53</v>
      </c>
      <c r="AK35">
        <v>13.644916621693589</v>
      </c>
      <c r="AL35">
        <v>4</v>
      </c>
      <c r="AM35">
        <v>3.4112291554233973</v>
      </c>
    </row>
    <row r="37" spans="3:42" ht="16" thickBot="1" x14ac:dyDescent="0.25">
      <c r="C37" s="4" t="s">
        <v>55</v>
      </c>
      <c r="D37" s="4">
        <v>21.508634453336029</v>
      </c>
      <c r="E37" s="4">
        <v>5</v>
      </c>
      <c r="F37" s="4"/>
      <c r="G37" s="4"/>
      <c r="H37" s="4"/>
      <c r="I37" s="4"/>
      <c r="N37" s="4" t="s">
        <v>55</v>
      </c>
      <c r="O37" s="4">
        <v>8.1348816461876012</v>
      </c>
      <c r="P37" s="4">
        <v>5</v>
      </c>
      <c r="Q37" s="4"/>
      <c r="R37" s="4"/>
      <c r="S37" s="4"/>
      <c r="T37" s="4"/>
      <c r="Y37" s="4" t="s">
        <v>55</v>
      </c>
      <c r="Z37" s="4">
        <v>9.5308984869759943</v>
      </c>
      <c r="AA37" s="4">
        <v>5</v>
      </c>
      <c r="AB37" s="4"/>
      <c r="AC37" s="4"/>
      <c r="AD37" s="4"/>
      <c r="AE37" s="4"/>
      <c r="AJ37" s="4" t="s">
        <v>55</v>
      </c>
      <c r="AK37" s="4">
        <v>13.978224164712612</v>
      </c>
      <c r="AL37" s="4">
        <v>5</v>
      </c>
      <c r="AM37" s="4"/>
      <c r="AN37" s="4"/>
      <c r="AO37" s="4"/>
      <c r="AP37" s="4"/>
    </row>
    <row r="39" spans="3:42" x14ac:dyDescent="0.2">
      <c r="C39" t="s">
        <v>31</v>
      </c>
      <c r="G39" s="110" t="s">
        <v>219</v>
      </c>
      <c r="H39" s="110"/>
      <c r="N39" t="s">
        <v>31</v>
      </c>
      <c r="R39" s="110" t="s">
        <v>219</v>
      </c>
      <c r="S39" s="110"/>
      <c r="Y39" t="s">
        <v>31</v>
      </c>
      <c r="AB39" s="110" t="s">
        <v>219</v>
      </c>
      <c r="AC39" s="110"/>
      <c r="AJ39" t="s">
        <v>31</v>
      </c>
      <c r="AM39" s="110" t="s">
        <v>219</v>
      </c>
      <c r="AN39" s="110"/>
    </row>
    <row r="41" spans="3:42" ht="16" thickBot="1" x14ac:dyDescent="0.25">
      <c r="C41" t="s">
        <v>34</v>
      </c>
      <c r="N41" t="s">
        <v>34</v>
      </c>
      <c r="Y41" t="s">
        <v>34</v>
      </c>
      <c r="AJ41" t="s">
        <v>34</v>
      </c>
    </row>
    <row r="42" spans="3:42" x14ac:dyDescent="0.2">
      <c r="C42" s="3" t="s">
        <v>35</v>
      </c>
      <c r="D42" s="3" t="s">
        <v>36</v>
      </c>
      <c r="E42" s="3" t="s">
        <v>37</v>
      </c>
      <c r="F42" s="3" t="s">
        <v>38</v>
      </c>
      <c r="G42" s="3" t="s">
        <v>39</v>
      </c>
      <c r="N42" s="3" t="s">
        <v>35</v>
      </c>
      <c r="O42" s="3" t="s">
        <v>36</v>
      </c>
      <c r="P42" s="3" t="s">
        <v>37</v>
      </c>
      <c r="Q42" s="3" t="s">
        <v>38</v>
      </c>
      <c r="R42" s="3" t="s">
        <v>39</v>
      </c>
      <c r="Y42" s="3" t="s">
        <v>35</v>
      </c>
      <c r="Z42" s="3" t="s">
        <v>36</v>
      </c>
      <c r="AA42" s="3" t="s">
        <v>37</v>
      </c>
      <c r="AB42" s="3" t="s">
        <v>38</v>
      </c>
      <c r="AC42" s="3" t="s">
        <v>39</v>
      </c>
      <c r="AJ42" s="3" t="s">
        <v>35</v>
      </c>
      <c r="AK42" s="3" t="s">
        <v>36</v>
      </c>
      <c r="AL42" s="3" t="s">
        <v>37</v>
      </c>
      <c r="AM42" s="3" t="s">
        <v>38</v>
      </c>
      <c r="AN42" s="3" t="s">
        <v>39</v>
      </c>
    </row>
    <row r="43" spans="3:42" x14ac:dyDescent="0.2">
      <c r="C43" t="s">
        <v>41</v>
      </c>
      <c r="D43">
        <v>3</v>
      </c>
      <c r="E43">
        <v>15.293927648578812</v>
      </c>
      <c r="F43">
        <v>5.097975882859604</v>
      </c>
      <c r="G43">
        <v>2.0636815417965835</v>
      </c>
      <c r="N43" t="s">
        <v>41</v>
      </c>
      <c r="O43">
        <v>3</v>
      </c>
      <c r="P43">
        <v>27.948966408268731</v>
      </c>
      <c r="Q43">
        <v>9.3163221360895765</v>
      </c>
      <c r="R43">
        <v>4.6887449728137369</v>
      </c>
      <c r="Y43" t="s">
        <v>41</v>
      </c>
      <c r="Z43">
        <v>3</v>
      </c>
      <c r="AA43">
        <v>17.861151194484528</v>
      </c>
      <c r="AB43">
        <v>5.9537170648281759</v>
      </c>
      <c r="AC43">
        <v>1.7226360464740793</v>
      </c>
      <c r="AJ43" t="s">
        <v>41</v>
      </c>
      <c r="AK43">
        <v>3</v>
      </c>
      <c r="AL43">
        <v>36.470658970658974</v>
      </c>
      <c r="AM43">
        <v>12.156886323552991</v>
      </c>
      <c r="AN43">
        <v>5.6592175409314507</v>
      </c>
    </row>
    <row r="44" spans="3:42" ht="16" thickBot="1" x14ac:dyDescent="0.25">
      <c r="C44" s="4" t="s">
        <v>42</v>
      </c>
      <c r="D44" s="4">
        <v>3</v>
      </c>
      <c r="E44" s="4">
        <v>26.147849462365592</v>
      </c>
      <c r="F44" s="4">
        <v>8.7159498207885306</v>
      </c>
      <c r="G44" s="4">
        <v>0.4033438355108494</v>
      </c>
      <c r="N44" s="4" t="s">
        <v>42</v>
      </c>
      <c r="O44" s="4">
        <v>3</v>
      </c>
      <c r="P44" s="4">
        <v>31.79032258064516</v>
      </c>
      <c r="Q44" s="4">
        <v>10.596774193548386</v>
      </c>
      <c r="R44" s="4">
        <v>5.4232570239334166</v>
      </c>
      <c r="Y44" s="4" t="s">
        <v>42</v>
      </c>
      <c r="Z44" s="4">
        <v>3</v>
      </c>
      <c r="AA44" s="4">
        <v>25.780812324929975</v>
      </c>
      <c r="AB44" s="4">
        <v>8.5936041083099912</v>
      </c>
      <c r="AC44" s="4">
        <v>0.82180339456043838</v>
      </c>
      <c r="AJ44" s="4" t="s">
        <v>42</v>
      </c>
      <c r="AK44" s="4">
        <v>3</v>
      </c>
      <c r="AL44" s="4">
        <v>32.240896358543417</v>
      </c>
      <c r="AM44" s="4">
        <v>10.746965452847805</v>
      </c>
      <c r="AN44" s="4">
        <v>0.83353602879060029</v>
      </c>
    </row>
    <row r="47" spans="3:42" ht="16" thickBot="1" x14ac:dyDescent="0.25">
      <c r="C47" t="s">
        <v>44</v>
      </c>
      <c r="N47" t="s">
        <v>44</v>
      </c>
      <c r="Y47" t="s">
        <v>44</v>
      </c>
      <c r="AJ47" t="s">
        <v>44</v>
      </c>
    </row>
    <row r="48" spans="3:42" x14ac:dyDescent="0.2">
      <c r="C48" s="3" t="s">
        <v>45</v>
      </c>
      <c r="D48" s="3" t="s">
        <v>46</v>
      </c>
      <c r="E48" s="3" t="s">
        <v>47</v>
      </c>
      <c r="F48" s="3" t="s">
        <v>48</v>
      </c>
      <c r="G48" s="3" t="s">
        <v>49</v>
      </c>
      <c r="H48" s="3" t="s">
        <v>50</v>
      </c>
      <c r="I48" s="3" t="s">
        <v>51</v>
      </c>
      <c r="N48" s="3" t="s">
        <v>45</v>
      </c>
      <c r="O48" s="3" t="s">
        <v>46</v>
      </c>
      <c r="P48" s="3" t="s">
        <v>47</v>
      </c>
      <c r="Q48" s="3" t="s">
        <v>48</v>
      </c>
      <c r="R48" s="3" t="s">
        <v>49</v>
      </c>
      <c r="S48" s="3" t="s">
        <v>50</v>
      </c>
      <c r="T48" s="3" t="s">
        <v>51</v>
      </c>
      <c r="Y48" s="3" t="s">
        <v>45</v>
      </c>
      <c r="Z48" s="3" t="s">
        <v>46</v>
      </c>
      <c r="AA48" s="3" t="s">
        <v>47</v>
      </c>
      <c r="AB48" s="3" t="s">
        <v>48</v>
      </c>
      <c r="AC48" s="3" t="s">
        <v>49</v>
      </c>
      <c r="AD48" s="3" t="s">
        <v>50</v>
      </c>
      <c r="AE48" s="3" t="s">
        <v>51</v>
      </c>
      <c r="AJ48" s="3" t="s">
        <v>45</v>
      </c>
      <c r="AK48" s="3" t="s">
        <v>46</v>
      </c>
      <c r="AL48" s="3" t="s">
        <v>47</v>
      </c>
      <c r="AM48" s="3" t="s">
        <v>48</v>
      </c>
      <c r="AN48" s="3" t="s">
        <v>49</v>
      </c>
      <c r="AO48" s="3" t="s">
        <v>50</v>
      </c>
      <c r="AP48" s="3" t="s">
        <v>51</v>
      </c>
    </row>
    <row r="49" spans="3:42" x14ac:dyDescent="0.2">
      <c r="C49" t="s">
        <v>52</v>
      </c>
      <c r="D49">
        <v>19.634603123299421</v>
      </c>
      <c r="E49">
        <v>1</v>
      </c>
      <c r="F49">
        <v>19.634603123299421</v>
      </c>
      <c r="G49">
        <v>15.917633684602812</v>
      </c>
      <c r="H49">
        <v>1.6269116396772278E-2</v>
      </c>
      <c r="I49">
        <v>7.708647422176786</v>
      </c>
      <c r="N49" t="s">
        <v>52</v>
      </c>
      <c r="O49">
        <v>2.4593362071757419</v>
      </c>
      <c r="P49">
        <v>1</v>
      </c>
      <c r="Q49">
        <v>2.4593362071757419</v>
      </c>
      <c r="R49">
        <v>0.48641924872381959</v>
      </c>
      <c r="S49">
        <v>0.52394118721431293</v>
      </c>
      <c r="T49">
        <v>7.708647422176786</v>
      </c>
      <c r="Y49" t="s">
        <v>52</v>
      </c>
      <c r="Z49">
        <v>10.45350540351474</v>
      </c>
      <c r="AA49">
        <v>1</v>
      </c>
      <c r="AB49">
        <v>10.45350540351474</v>
      </c>
      <c r="AC49">
        <v>8.2167452955882361</v>
      </c>
      <c r="AD49">
        <v>4.5629918968120561E-2</v>
      </c>
      <c r="AE49">
        <v>7.708647422176786</v>
      </c>
      <c r="AJ49" t="s">
        <v>52</v>
      </c>
      <c r="AK49">
        <v>2.9818152924750994</v>
      </c>
      <c r="AL49">
        <v>1</v>
      </c>
      <c r="AM49">
        <v>2.9818152924750994</v>
      </c>
      <c r="AN49">
        <v>0.91850561104931205</v>
      </c>
      <c r="AO49">
        <v>0.39214016535938567</v>
      </c>
      <c r="AP49">
        <v>7.708647422176786</v>
      </c>
    </row>
    <row r="50" spans="3:42" x14ac:dyDescent="0.2">
      <c r="C50" t="s">
        <v>53</v>
      </c>
      <c r="D50">
        <v>4.9340507546148764</v>
      </c>
      <c r="E50">
        <v>4</v>
      </c>
      <c r="F50">
        <v>1.2335126886537191</v>
      </c>
      <c r="N50" t="s">
        <v>53</v>
      </c>
      <c r="O50">
        <v>20.224003993494183</v>
      </c>
      <c r="P50">
        <v>4</v>
      </c>
      <c r="Q50">
        <v>5.0560009983735457</v>
      </c>
      <c r="Y50" t="s">
        <v>53</v>
      </c>
      <c r="Z50">
        <v>5.0888788820690225</v>
      </c>
      <c r="AA50">
        <v>4</v>
      </c>
      <c r="AB50">
        <v>1.2722197205172556</v>
      </c>
      <c r="AJ50" t="s">
        <v>53</v>
      </c>
      <c r="AK50">
        <v>12.985507139444199</v>
      </c>
      <c r="AL50">
        <v>4</v>
      </c>
      <c r="AM50">
        <v>3.2463767848610496</v>
      </c>
    </row>
    <row r="52" spans="3:42" ht="16" thickBot="1" x14ac:dyDescent="0.25">
      <c r="C52" s="4" t="s">
        <v>55</v>
      </c>
      <c r="D52" s="4">
        <v>24.568653877914297</v>
      </c>
      <c r="E52" s="4">
        <v>5</v>
      </c>
      <c r="F52" s="4"/>
      <c r="G52" s="4"/>
      <c r="H52" s="4"/>
      <c r="I52" s="4"/>
      <c r="N52" s="4" t="s">
        <v>55</v>
      </c>
      <c r="O52" s="4">
        <v>22.683340200669925</v>
      </c>
      <c r="P52" s="4">
        <v>5</v>
      </c>
      <c r="Q52" s="4"/>
      <c r="R52" s="4"/>
      <c r="S52" s="4"/>
      <c r="T52" s="4"/>
      <c r="Y52" s="4" t="s">
        <v>55</v>
      </c>
      <c r="Z52" s="4">
        <v>15.542384285583761</v>
      </c>
      <c r="AA52" s="4">
        <v>5</v>
      </c>
      <c r="AB52" s="4"/>
      <c r="AC52" s="4"/>
      <c r="AD52" s="4"/>
      <c r="AE52" s="4"/>
      <c r="AJ52" s="4" t="s">
        <v>55</v>
      </c>
      <c r="AK52" s="4">
        <v>15.967322431919298</v>
      </c>
      <c r="AL52" s="4">
        <v>5</v>
      </c>
      <c r="AM52" s="4"/>
      <c r="AN52" s="4"/>
      <c r="AO52" s="4"/>
      <c r="AP52" s="4"/>
    </row>
    <row r="54" spans="3:42" x14ac:dyDescent="0.2">
      <c r="C54" t="s">
        <v>31</v>
      </c>
      <c r="G54" s="110" t="s">
        <v>220</v>
      </c>
      <c r="H54" s="110"/>
      <c r="N54" t="s">
        <v>31</v>
      </c>
      <c r="R54" s="110" t="s">
        <v>220</v>
      </c>
      <c r="S54" s="110"/>
    </row>
    <row r="55" spans="3:42" x14ac:dyDescent="0.2">
      <c r="Y55" t="s">
        <v>31</v>
      </c>
      <c r="AB55" s="110" t="s">
        <v>220</v>
      </c>
      <c r="AC55" s="110"/>
      <c r="AJ55" t="s">
        <v>31</v>
      </c>
      <c r="AM55" s="110" t="s">
        <v>220</v>
      </c>
      <c r="AN55" s="110"/>
    </row>
    <row r="56" spans="3:42" ht="16" thickBot="1" x14ac:dyDescent="0.25">
      <c r="C56" t="s">
        <v>34</v>
      </c>
      <c r="N56" t="s">
        <v>34</v>
      </c>
    </row>
    <row r="57" spans="3:42" ht="16" thickBot="1" x14ac:dyDescent="0.25">
      <c r="C57" s="3" t="s">
        <v>35</v>
      </c>
      <c r="D57" s="3" t="s">
        <v>36</v>
      </c>
      <c r="E57" s="3" t="s">
        <v>37</v>
      </c>
      <c r="F57" s="3" t="s">
        <v>38</v>
      </c>
      <c r="G57" s="3" t="s">
        <v>39</v>
      </c>
      <c r="N57" s="3" t="s">
        <v>35</v>
      </c>
      <c r="O57" s="3" t="s">
        <v>36</v>
      </c>
      <c r="P57" s="3" t="s">
        <v>37</v>
      </c>
      <c r="Q57" s="3" t="s">
        <v>38</v>
      </c>
      <c r="R57" s="3" t="s">
        <v>39</v>
      </c>
      <c r="Y57" t="s">
        <v>34</v>
      </c>
      <c r="AJ57" t="s">
        <v>34</v>
      </c>
    </row>
    <row r="58" spans="3:42" x14ac:dyDescent="0.2">
      <c r="C58" t="s">
        <v>41</v>
      </c>
      <c r="D58">
        <v>3</v>
      </c>
      <c r="E58">
        <v>21.049645390070921</v>
      </c>
      <c r="F58">
        <v>7.0165484633569735</v>
      </c>
      <c r="G58">
        <v>0.74550240598226114</v>
      </c>
      <c r="N58" t="s">
        <v>41</v>
      </c>
      <c r="O58">
        <v>3</v>
      </c>
      <c r="P58">
        <v>25.907801418439718</v>
      </c>
      <c r="Q58">
        <v>8.6359338061465731</v>
      </c>
      <c r="R58">
        <v>0.68841272236473783</v>
      </c>
      <c r="Y58" s="3" t="s">
        <v>35</v>
      </c>
      <c r="Z58" s="3" t="s">
        <v>36</v>
      </c>
      <c r="AA58" s="3" t="s">
        <v>37</v>
      </c>
      <c r="AB58" s="3" t="s">
        <v>38</v>
      </c>
      <c r="AC58" s="3" t="s">
        <v>39</v>
      </c>
      <c r="AJ58" s="3" t="s">
        <v>35</v>
      </c>
      <c r="AK58" s="3" t="s">
        <v>36</v>
      </c>
      <c r="AL58" s="3" t="s">
        <v>37</v>
      </c>
      <c r="AM58" s="3" t="s">
        <v>38</v>
      </c>
      <c r="AN58" s="3" t="s">
        <v>39</v>
      </c>
    </row>
    <row r="59" spans="3:42" ht="16" thickBot="1" x14ac:dyDescent="0.25">
      <c r="C59" s="4" t="s">
        <v>42</v>
      </c>
      <c r="D59" s="4">
        <v>3</v>
      </c>
      <c r="E59" s="4">
        <v>19.203491543917075</v>
      </c>
      <c r="F59" s="4">
        <v>6.4011638479723585</v>
      </c>
      <c r="G59" s="4">
        <v>6.5994243659041524E-2</v>
      </c>
      <c r="N59" s="4" t="s">
        <v>42</v>
      </c>
      <c r="O59" s="4">
        <v>3</v>
      </c>
      <c r="P59" s="4">
        <v>25.741953082378615</v>
      </c>
      <c r="Q59" s="4">
        <v>8.5806510274595382</v>
      </c>
      <c r="R59" s="4">
        <v>7.5712049812756561</v>
      </c>
      <c r="Y59" t="s">
        <v>41</v>
      </c>
      <c r="Z59">
        <v>3</v>
      </c>
      <c r="AA59">
        <v>17.201973653586556</v>
      </c>
      <c r="AB59">
        <v>5.7339912178621857</v>
      </c>
      <c r="AC59">
        <v>0.41877086817347131</v>
      </c>
      <c r="AJ59" t="s">
        <v>41</v>
      </c>
      <c r="AK59">
        <v>3</v>
      </c>
      <c r="AL59">
        <v>30.883023786249591</v>
      </c>
      <c r="AM59">
        <v>10.294341262083197</v>
      </c>
      <c r="AN59">
        <v>5.1149119648893873</v>
      </c>
    </row>
    <row r="60" spans="3:42" ht="16" thickBot="1" x14ac:dyDescent="0.25">
      <c r="Y60" s="4" t="s">
        <v>42</v>
      </c>
      <c r="Z60" s="4">
        <v>3</v>
      </c>
      <c r="AA60" s="4">
        <v>23.235305915277404</v>
      </c>
      <c r="AB60" s="4">
        <v>7.7451019717591345</v>
      </c>
      <c r="AC60" s="4">
        <v>0.22745288585372078</v>
      </c>
      <c r="AJ60" s="4" t="s">
        <v>42</v>
      </c>
      <c r="AK60" s="4">
        <v>3</v>
      </c>
      <c r="AL60" s="4">
        <v>31.091384263159036</v>
      </c>
      <c r="AM60" s="4">
        <v>10.363794754386346</v>
      </c>
      <c r="AN60" s="4">
        <v>15.306649148775136</v>
      </c>
    </row>
    <row r="62" spans="3:42" ht="16" thickBot="1" x14ac:dyDescent="0.25">
      <c r="C62" t="s">
        <v>44</v>
      </c>
      <c r="N62" t="s">
        <v>44</v>
      </c>
    </row>
    <row r="63" spans="3:42" ht="16" thickBot="1" x14ac:dyDescent="0.25">
      <c r="C63" s="3" t="s">
        <v>45</v>
      </c>
      <c r="D63" s="3" t="s">
        <v>46</v>
      </c>
      <c r="E63" s="3" t="s">
        <v>47</v>
      </c>
      <c r="F63" s="3" t="s">
        <v>48</v>
      </c>
      <c r="G63" s="3" t="s">
        <v>49</v>
      </c>
      <c r="H63" s="3" t="s">
        <v>50</v>
      </c>
      <c r="I63" s="3" t="s">
        <v>51</v>
      </c>
      <c r="N63" s="3" t="s">
        <v>45</v>
      </c>
      <c r="O63" s="3" t="s">
        <v>46</v>
      </c>
      <c r="P63" s="3" t="s">
        <v>47</v>
      </c>
      <c r="Q63" s="3" t="s">
        <v>48</v>
      </c>
      <c r="R63" s="3" t="s">
        <v>49</v>
      </c>
      <c r="S63" s="3" t="s">
        <v>50</v>
      </c>
      <c r="T63" s="3" t="s">
        <v>51</v>
      </c>
      <c r="Y63" t="s">
        <v>44</v>
      </c>
      <c r="AJ63" t="s">
        <v>44</v>
      </c>
    </row>
    <row r="64" spans="3:42" x14ac:dyDescent="0.2">
      <c r="C64" t="s">
        <v>52</v>
      </c>
      <c r="D64">
        <v>0.56804733727810652</v>
      </c>
      <c r="E64">
        <v>1</v>
      </c>
      <c r="F64">
        <v>0.56804733727810652</v>
      </c>
      <c r="G64">
        <v>1.3999992175671816</v>
      </c>
      <c r="H64">
        <v>0.30224167795658247</v>
      </c>
      <c r="I64">
        <v>7.708647422176786</v>
      </c>
      <c r="N64" t="s">
        <v>52</v>
      </c>
      <c r="O64">
        <v>4.5842784290393013E-3</v>
      </c>
      <c r="P64">
        <v>1</v>
      </c>
      <c r="Q64">
        <v>4.5842784290393013E-3</v>
      </c>
      <c r="R64">
        <v>1.1100461531091909E-3</v>
      </c>
      <c r="S64">
        <v>0.9750177606853816</v>
      </c>
      <c r="T64">
        <v>7.708647422176786</v>
      </c>
      <c r="Y64" s="3" t="s">
        <v>45</v>
      </c>
      <c r="Z64" s="3" t="s">
        <v>46</v>
      </c>
      <c r="AA64" s="3" t="s">
        <v>47</v>
      </c>
      <c r="AB64" s="3" t="s">
        <v>48</v>
      </c>
      <c r="AC64" s="3" t="s">
        <v>49</v>
      </c>
      <c r="AD64" s="3" t="s">
        <v>50</v>
      </c>
      <c r="AE64" s="3" t="s">
        <v>51</v>
      </c>
      <c r="AJ64" s="3" t="s">
        <v>45</v>
      </c>
      <c r="AK64" s="3" t="s">
        <v>46</v>
      </c>
      <c r="AL64" s="3" t="s">
        <v>47</v>
      </c>
      <c r="AM64" s="3" t="s">
        <v>48</v>
      </c>
      <c r="AN64" s="3" t="s">
        <v>49</v>
      </c>
      <c r="AO64" s="3" t="s">
        <v>50</v>
      </c>
      <c r="AP64" s="3" t="s">
        <v>51</v>
      </c>
    </row>
    <row r="65" spans="3:42" x14ac:dyDescent="0.2">
      <c r="C65" t="s">
        <v>53</v>
      </c>
      <c r="D65">
        <v>1.6229932992826053</v>
      </c>
      <c r="E65">
        <v>4</v>
      </c>
      <c r="F65">
        <v>0.40574832482065132</v>
      </c>
      <c r="N65" t="s">
        <v>53</v>
      </c>
      <c r="O65">
        <v>16.519235407280814</v>
      </c>
      <c r="P65">
        <v>4</v>
      </c>
      <c r="Q65">
        <v>4.1298088518202034</v>
      </c>
      <c r="Y65" t="s">
        <v>52</v>
      </c>
      <c r="Z65">
        <v>6.0668496966599337</v>
      </c>
      <c r="AA65">
        <v>1</v>
      </c>
      <c r="AB65">
        <v>6.0668496966599337</v>
      </c>
      <c r="AC65">
        <v>18.776312875693669</v>
      </c>
      <c r="AD65">
        <v>1.2318990918575622E-2</v>
      </c>
      <c r="AE65">
        <v>7.708647422176786</v>
      </c>
      <c r="AJ65" t="s">
        <v>52</v>
      </c>
      <c r="AK65">
        <v>7.2356813896519157E-3</v>
      </c>
      <c r="AL65">
        <v>1</v>
      </c>
      <c r="AM65">
        <v>7.2356813896519157E-3</v>
      </c>
      <c r="AN65">
        <v>7.0863156341268677E-4</v>
      </c>
      <c r="AO65">
        <v>0.98003784601930111</v>
      </c>
      <c r="AP65">
        <v>7.708647422176786</v>
      </c>
    </row>
    <row r="66" spans="3:42" x14ac:dyDescent="0.2">
      <c r="Y66" t="s">
        <v>53</v>
      </c>
      <c r="Z66">
        <v>1.2924475080543842</v>
      </c>
      <c r="AA66">
        <v>4</v>
      </c>
      <c r="AB66">
        <v>0.32311187701359606</v>
      </c>
      <c r="AJ66" t="s">
        <v>53</v>
      </c>
      <c r="AK66">
        <v>40.843122227329076</v>
      </c>
      <c r="AL66">
        <v>4</v>
      </c>
      <c r="AM66">
        <v>10.210780556832269</v>
      </c>
    </row>
    <row r="67" spans="3:42" ht="16" thickBot="1" x14ac:dyDescent="0.25">
      <c r="C67" s="4" t="s">
        <v>55</v>
      </c>
      <c r="D67" s="4">
        <v>2.1910406365607118</v>
      </c>
      <c r="E67" s="4">
        <v>5</v>
      </c>
      <c r="F67" s="4"/>
      <c r="G67" s="4"/>
      <c r="H67" s="4"/>
      <c r="I67" s="4"/>
      <c r="N67" s="4" t="s">
        <v>55</v>
      </c>
      <c r="O67" s="4">
        <v>16.523819685709853</v>
      </c>
      <c r="P67" s="4">
        <v>5</v>
      </c>
      <c r="Q67" s="4"/>
      <c r="R67" s="4"/>
      <c r="S67" s="4"/>
      <c r="T67" s="4"/>
    </row>
    <row r="68" spans="3:42" ht="16" thickBot="1" x14ac:dyDescent="0.25">
      <c r="Y68" s="4" t="s">
        <v>55</v>
      </c>
      <c r="Z68" s="4">
        <v>7.3592972047143181</v>
      </c>
      <c r="AA68" s="4">
        <v>5</v>
      </c>
      <c r="AB68" s="4"/>
      <c r="AC68" s="4"/>
      <c r="AD68" s="4"/>
      <c r="AE68" s="4"/>
      <c r="AJ68" s="4" t="s">
        <v>55</v>
      </c>
      <c r="AK68" s="4">
        <v>40.850357908718728</v>
      </c>
      <c r="AL68" s="4">
        <v>5</v>
      </c>
      <c r="AM68" s="4"/>
      <c r="AN68" s="4"/>
      <c r="AO68" s="4"/>
      <c r="AP68" s="4"/>
    </row>
  </sheetData>
  <mergeCells count="23">
    <mergeCell ref="AB39:AC39"/>
    <mergeCell ref="AB55:AC55"/>
    <mergeCell ref="AM24:AN24"/>
    <mergeCell ref="AM39:AN39"/>
    <mergeCell ref="AM55:AN55"/>
    <mergeCell ref="AB24:AC24"/>
    <mergeCell ref="W1:AP1"/>
    <mergeCell ref="X2:Z2"/>
    <mergeCell ref="AB2:AD2"/>
    <mergeCell ref="AF2:AH2"/>
    <mergeCell ref="AJ2:AL2"/>
    <mergeCell ref="A1:U1"/>
    <mergeCell ref="G39:H39"/>
    <mergeCell ref="G24:H24"/>
    <mergeCell ref="G54:H54"/>
    <mergeCell ref="R24:S24"/>
    <mergeCell ref="R39:S39"/>
    <mergeCell ref="R54:S54"/>
    <mergeCell ref="B2:D2"/>
    <mergeCell ref="F2:H2"/>
    <mergeCell ref="J2:L2"/>
    <mergeCell ref="N2:P2"/>
    <mergeCell ref="J27:K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1088-F47A-864A-AAC4-65E86015D8B2}">
  <sheetPr>
    <tabColor rgb="FF00B050"/>
  </sheetPr>
  <dimension ref="A1:J20"/>
  <sheetViews>
    <sheetView workbookViewId="0">
      <selection activeCell="L15" sqref="L15"/>
    </sheetView>
  </sheetViews>
  <sheetFormatPr baseColWidth="10" defaultRowHeight="15" x14ac:dyDescent="0.2"/>
  <cols>
    <col min="5" max="5" width="6.33203125" customWidth="1"/>
  </cols>
  <sheetData>
    <row r="1" spans="1:9" x14ac:dyDescent="0.2">
      <c r="B1" s="121" t="s">
        <v>169</v>
      </c>
      <c r="C1" s="121"/>
      <c r="D1" s="121"/>
    </row>
    <row r="2" spans="1:9" x14ac:dyDescent="0.2">
      <c r="B2" s="59"/>
      <c r="C2" s="59"/>
      <c r="D2" s="59"/>
    </row>
    <row r="3" spans="1:9" x14ac:dyDescent="0.2">
      <c r="A3" t="s">
        <v>28</v>
      </c>
      <c r="B3" s="67" t="s">
        <v>163</v>
      </c>
      <c r="C3" s="60" t="s">
        <v>168</v>
      </c>
      <c r="D3" s="48" t="s">
        <v>122</v>
      </c>
    </row>
    <row r="4" spans="1:9" x14ac:dyDescent="0.2">
      <c r="A4" s="69" t="s">
        <v>164</v>
      </c>
      <c r="B4" s="63">
        <v>42</v>
      </c>
      <c r="C4" s="63">
        <v>28</v>
      </c>
      <c r="D4" s="61">
        <f>SUM(B4:C4)</f>
        <v>70</v>
      </c>
      <c r="F4" s="42"/>
      <c r="G4" s="42" t="s">
        <v>161</v>
      </c>
      <c r="H4" s="42" t="s">
        <v>168</v>
      </c>
    </row>
    <row r="5" spans="1:9" x14ac:dyDescent="0.2">
      <c r="A5" s="69" t="s">
        <v>165</v>
      </c>
      <c r="B5" s="63">
        <v>24</v>
      </c>
      <c r="C5" s="63">
        <v>18</v>
      </c>
      <c r="D5" s="61">
        <f>SUM(B5:C5)</f>
        <v>42</v>
      </c>
      <c r="F5" s="42" t="s">
        <v>28</v>
      </c>
      <c r="G5" s="58">
        <v>0.58899999999999997</v>
      </c>
      <c r="H5" s="58">
        <f>C6/D6</f>
        <v>0.4107142857142857</v>
      </c>
    </row>
    <row r="6" spans="1:9" x14ac:dyDescent="0.2">
      <c r="A6" t="s">
        <v>122</v>
      </c>
      <c r="B6" s="61">
        <f>SUM(B4:B5)</f>
        <v>66</v>
      </c>
      <c r="C6" s="61">
        <f>SUM(C4:C5)</f>
        <v>46</v>
      </c>
      <c r="D6" s="61">
        <f>SUM(D4:D5)</f>
        <v>112</v>
      </c>
      <c r="F6" s="42" t="s">
        <v>162</v>
      </c>
      <c r="G6" s="58">
        <v>0.63500000000000001</v>
      </c>
      <c r="H6" s="58">
        <f>C12/D12</f>
        <v>0.36440677966101692</v>
      </c>
    </row>
    <row r="7" spans="1:9" x14ac:dyDescent="0.2">
      <c r="B7" s="60"/>
      <c r="D7" s="48"/>
      <c r="F7" s="41"/>
      <c r="G7" s="65"/>
      <c r="H7" s="65"/>
      <c r="I7" s="65"/>
    </row>
    <row r="8" spans="1:9" x14ac:dyDescent="0.2">
      <c r="A8" t="s">
        <v>167</v>
      </c>
      <c r="B8" s="67" t="s">
        <v>163</v>
      </c>
      <c r="C8" s="60" t="s">
        <v>168</v>
      </c>
      <c r="D8" s="48" t="s">
        <v>122</v>
      </c>
    </row>
    <row r="9" spans="1:9" x14ac:dyDescent="0.2">
      <c r="A9" s="69" t="s">
        <v>164</v>
      </c>
      <c r="B9" s="67">
        <v>34</v>
      </c>
      <c r="C9" s="67">
        <v>23</v>
      </c>
      <c r="D9" s="62">
        <f>SUM(B9:C9)</f>
        <v>57</v>
      </c>
    </row>
    <row r="10" spans="1:9" x14ac:dyDescent="0.2">
      <c r="A10" s="69" t="s">
        <v>166</v>
      </c>
      <c r="B10" s="63">
        <v>27</v>
      </c>
      <c r="C10" s="63">
        <v>15</v>
      </c>
      <c r="D10" s="62">
        <f>SUM(B10:C10)</f>
        <v>42</v>
      </c>
    </row>
    <row r="11" spans="1:9" x14ac:dyDescent="0.2">
      <c r="A11" s="69" t="s">
        <v>165</v>
      </c>
      <c r="B11" s="63">
        <v>14</v>
      </c>
      <c r="C11" s="63">
        <v>5</v>
      </c>
      <c r="D11" s="62">
        <f>SUM(B11:C11)</f>
        <v>19</v>
      </c>
      <c r="E11" s="60"/>
    </row>
    <row r="12" spans="1:9" x14ac:dyDescent="0.2">
      <c r="A12" t="s">
        <v>122</v>
      </c>
      <c r="B12" s="63">
        <f>SUM(B9:B11)</f>
        <v>75</v>
      </c>
      <c r="C12" s="63">
        <f>SUM(C9:C11)</f>
        <v>43</v>
      </c>
      <c r="D12" s="62">
        <f>SUM(D9:D11)</f>
        <v>118</v>
      </c>
      <c r="E12" s="60"/>
    </row>
    <row r="13" spans="1:9" x14ac:dyDescent="0.2">
      <c r="B13" s="64"/>
      <c r="C13" s="68"/>
      <c r="D13" s="59"/>
      <c r="E13" s="60"/>
    </row>
    <row r="14" spans="1:9" x14ac:dyDescent="0.2">
      <c r="B14" s="64"/>
      <c r="C14" s="64"/>
      <c r="D14" s="48"/>
      <c r="E14" s="60"/>
    </row>
    <row r="15" spans="1:9" x14ac:dyDescent="0.2">
      <c r="B15" s="67"/>
      <c r="C15" s="60"/>
      <c r="D15" s="59"/>
    </row>
    <row r="16" spans="1:9" x14ac:dyDescent="0.2">
      <c r="B16" s="63"/>
      <c r="C16" s="63"/>
      <c r="D16" s="63"/>
      <c r="E16" s="66"/>
    </row>
    <row r="17" spans="2:10" x14ac:dyDescent="0.2">
      <c r="B17" s="63"/>
      <c r="C17" s="63"/>
      <c r="D17" s="63"/>
      <c r="E17" s="64"/>
    </row>
    <row r="18" spans="2:10" x14ac:dyDescent="0.2">
      <c r="B18" s="63"/>
      <c r="C18" s="63"/>
      <c r="D18" s="63"/>
      <c r="E18" s="64"/>
    </row>
    <row r="19" spans="2:10" x14ac:dyDescent="0.2">
      <c r="B19" s="63"/>
      <c r="C19" s="63"/>
      <c r="D19" s="61"/>
      <c r="E19" s="64"/>
      <c r="G19" s="60"/>
      <c r="H19" s="65"/>
      <c r="I19" s="65"/>
      <c r="J19" s="65"/>
    </row>
    <row r="20" spans="2:10" x14ac:dyDescent="0.2">
      <c r="B20" s="63"/>
      <c r="C20" s="63"/>
      <c r="D20" s="59"/>
      <c r="E20" s="64"/>
    </row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34"/>
  <sheetViews>
    <sheetView zoomScale="90" zoomScaleNormal="90" workbookViewId="0">
      <selection activeCell="H36" sqref="H36"/>
    </sheetView>
  </sheetViews>
  <sheetFormatPr baseColWidth="10" defaultRowHeight="15" x14ac:dyDescent="0.2"/>
  <cols>
    <col min="1" max="1" width="23.1640625" bestFit="1" customWidth="1"/>
    <col min="6" max="6" width="18.83203125" bestFit="1" customWidth="1"/>
    <col min="7" max="7" width="12.5" customWidth="1"/>
    <col min="11" max="11" width="18.83203125" bestFit="1" customWidth="1"/>
  </cols>
  <sheetData>
    <row r="1" spans="1:14" x14ac:dyDescent="0.2">
      <c r="B1" t="s">
        <v>0</v>
      </c>
      <c r="C1" t="s">
        <v>1</v>
      </c>
      <c r="D1" t="s">
        <v>2</v>
      </c>
      <c r="E1" t="s">
        <v>3</v>
      </c>
    </row>
    <row r="2" spans="1:14" x14ac:dyDescent="0.2">
      <c r="A2" t="s">
        <v>22</v>
      </c>
      <c r="B2">
        <v>28</v>
      </c>
      <c r="C2">
        <v>0</v>
      </c>
      <c r="D2">
        <v>28</v>
      </c>
      <c r="E2">
        <v>76</v>
      </c>
    </row>
    <row r="3" spans="1:14" x14ac:dyDescent="0.2">
      <c r="A3" t="s">
        <v>4</v>
      </c>
      <c r="B3">
        <v>33</v>
      </c>
      <c r="C3">
        <v>0</v>
      </c>
      <c r="D3">
        <v>33</v>
      </c>
      <c r="E3">
        <v>83</v>
      </c>
    </row>
    <row r="4" spans="1:14" x14ac:dyDescent="0.2">
      <c r="A4" t="s">
        <v>23</v>
      </c>
      <c r="B4">
        <v>25</v>
      </c>
      <c r="C4">
        <v>88</v>
      </c>
      <c r="D4">
        <v>25</v>
      </c>
      <c r="E4">
        <v>95</v>
      </c>
    </row>
    <row r="5" spans="1:14" x14ac:dyDescent="0.2">
      <c r="A5" t="s">
        <v>5</v>
      </c>
      <c r="B5">
        <v>34</v>
      </c>
      <c r="C5">
        <v>80</v>
      </c>
      <c r="D5">
        <v>34</v>
      </c>
      <c r="E5">
        <v>85</v>
      </c>
    </row>
    <row r="6" spans="1:14" x14ac:dyDescent="0.2">
      <c r="A6" t="s">
        <v>15</v>
      </c>
      <c r="B6">
        <v>35</v>
      </c>
      <c r="C6">
        <v>100</v>
      </c>
      <c r="D6">
        <v>23</v>
      </c>
      <c r="E6">
        <v>100</v>
      </c>
    </row>
    <row r="7" spans="1:14" x14ac:dyDescent="0.2">
      <c r="A7" t="s">
        <v>11</v>
      </c>
      <c r="B7">
        <v>36</v>
      </c>
      <c r="C7">
        <v>97</v>
      </c>
      <c r="D7">
        <v>36</v>
      </c>
      <c r="E7">
        <v>101</v>
      </c>
    </row>
    <row r="8" spans="1:14" x14ac:dyDescent="0.2">
      <c r="A8" t="s">
        <v>24</v>
      </c>
      <c r="B8">
        <v>26</v>
      </c>
      <c r="C8">
        <v>0</v>
      </c>
      <c r="D8">
        <v>26</v>
      </c>
      <c r="E8">
        <v>101</v>
      </c>
    </row>
    <row r="9" spans="1:14" x14ac:dyDescent="0.2">
      <c r="A9" t="s">
        <v>10</v>
      </c>
      <c r="B9">
        <v>28</v>
      </c>
      <c r="C9">
        <v>8</v>
      </c>
      <c r="D9">
        <v>28</v>
      </c>
      <c r="E9">
        <v>82</v>
      </c>
    </row>
    <row r="10" spans="1:14" x14ac:dyDescent="0.2">
      <c r="A10" t="s">
        <v>25</v>
      </c>
      <c r="B10">
        <v>21</v>
      </c>
      <c r="C10">
        <v>76</v>
      </c>
      <c r="D10">
        <v>21</v>
      </c>
      <c r="E10">
        <v>76</v>
      </c>
    </row>
    <row r="11" spans="1:14" x14ac:dyDescent="0.2">
      <c r="A11" t="s">
        <v>6</v>
      </c>
      <c r="B11">
        <v>33</v>
      </c>
      <c r="C11">
        <v>111</v>
      </c>
      <c r="D11">
        <v>33</v>
      </c>
      <c r="E11">
        <v>111</v>
      </c>
    </row>
    <row r="12" spans="1:14" x14ac:dyDescent="0.2">
      <c r="A12" t="s">
        <v>16</v>
      </c>
      <c r="B12">
        <v>42</v>
      </c>
      <c r="C12">
        <v>96</v>
      </c>
      <c r="D12">
        <v>32</v>
      </c>
      <c r="E12">
        <v>107</v>
      </c>
    </row>
    <row r="13" spans="1:14" x14ac:dyDescent="0.2">
      <c r="A13" t="s">
        <v>7</v>
      </c>
      <c r="B13">
        <v>42</v>
      </c>
      <c r="C13">
        <v>102</v>
      </c>
      <c r="D13">
        <v>42</v>
      </c>
      <c r="E13">
        <v>102</v>
      </c>
    </row>
    <row r="16" spans="1:14" x14ac:dyDescent="0.2">
      <c r="B16" t="s">
        <v>26</v>
      </c>
      <c r="C16" t="s">
        <v>14</v>
      </c>
      <c r="D16" t="s">
        <v>27</v>
      </c>
      <c r="G16" t="s">
        <v>1</v>
      </c>
      <c r="H16" t="s">
        <v>17</v>
      </c>
      <c r="I16" t="s">
        <v>18</v>
      </c>
      <c r="L16" t="s">
        <v>2</v>
      </c>
      <c r="M16" t="s">
        <v>20</v>
      </c>
      <c r="N16" t="s">
        <v>21</v>
      </c>
    </row>
    <row r="17" spans="1:19" x14ac:dyDescent="0.2">
      <c r="A17" t="s">
        <v>22</v>
      </c>
      <c r="B17">
        <v>0</v>
      </c>
      <c r="C17">
        <v>28</v>
      </c>
      <c r="D17">
        <v>0</v>
      </c>
      <c r="F17" t="s">
        <v>22</v>
      </c>
      <c r="G17">
        <v>0</v>
      </c>
      <c r="H17">
        <v>76</v>
      </c>
      <c r="I17">
        <v>0</v>
      </c>
      <c r="K17" t="s">
        <v>22</v>
      </c>
      <c r="L17">
        <v>0</v>
      </c>
      <c r="M17">
        <v>28</v>
      </c>
      <c r="N17">
        <v>0</v>
      </c>
    </row>
    <row r="18" spans="1:19" x14ac:dyDescent="0.2">
      <c r="A18" t="s">
        <v>4</v>
      </c>
      <c r="B18">
        <v>0</v>
      </c>
      <c r="C18">
        <v>33</v>
      </c>
      <c r="D18">
        <v>0</v>
      </c>
      <c r="F18" t="s">
        <v>4</v>
      </c>
      <c r="G18">
        <v>0</v>
      </c>
      <c r="H18">
        <v>83</v>
      </c>
      <c r="I18">
        <v>0</v>
      </c>
      <c r="K18" t="s">
        <v>4</v>
      </c>
      <c r="L18">
        <v>0</v>
      </c>
      <c r="M18">
        <v>33</v>
      </c>
      <c r="N18">
        <v>0</v>
      </c>
    </row>
    <row r="19" spans="1:19" x14ac:dyDescent="0.2">
      <c r="A19" t="s">
        <v>23</v>
      </c>
      <c r="B19">
        <v>0</v>
      </c>
      <c r="C19">
        <v>25</v>
      </c>
      <c r="D19">
        <v>0</v>
      </c>
      <c r="F19" t="s">
        <v>23</v>
      </c>
      <c r="G19">
        <v>88</v>
      </c>
      <c r="H19">
        <v>95</v>
      </c>
      <c r="I19">
        <f t="shared" ref="I19:I28" si="0">(G19/H19)*100</f>
        <v>92.631578947368425</v>
      </c>
      <c r="K19" t="s">
        <v>23</v>
      </c>
      <c r="L19">
        <v>0</v>
      </c>
      <c r="M19">
        <v>25</v>
      </c>
      <c r="N19">
        <v>0</v>
      </c>
    </row>
    <row r="20" spans="1:19" x14ac:dyDescent="0.2">
      <c r="A20" t="s">
        <v>5</v>
      </c>
      <c r="B20">
        <v>0</v>
      </c>
      <c r="C20">
        <v>34</v>
      </c>
      <c r="D20">
        <v>0</v>
      </c>
      <c r="F20" t="s">
        <v>5</v>
      </c>
      <c r="G20">
        <v>80</v>
      </c>
      <c r="H20">
        <v>85</v>
      </c>
      <c r="I20">
        <f t="shared" si="0"/>
        <v>94.117647058823522</v>
      </c>
      <c r="K20" t="s">
        <v>5</v>
      </c>
      <c r="L20">
        <v>0</v>
      </c>
      <c r="M20">
        <v>34</v>
      </c>
      <c r="N20">
        <v>0</v>
      </c>
    </row>
    <row r="21" spans="1:19" x14ac:dyDescent="0.2">
      <c r="A21" t="s">
        <v>15</v>
      </c>
      <c r="B21">
        <v>9</v>
      </c>
      <c r="C21">
        <v>36</v>
      </c>
      <c r="D21">
        <f>(B21/C21)*100</f>
        <v>25</v>
      </c>
      <c r="F21" t="s">
        <v>15</v>
      </c>
      <c r="G21">
        <v>100</v>
      </c>
      <c r="H21">
        <v>100</v>
      </c>
      <c r="I21">
        <f t="shared" si="0"/>
        <v>100</v>
      </c>
      <c r="K21" t="s">
        <v>15</v>
      </c>
      <c r="L21">
        <v>0</v>
      </c>
      <c r="M21">
        <v>23</v>
      </c>
      <c r="N21">
        <v>0</v>
      </c>
      <c r="S21" t="s">
        <v>8</v>
      </c>
    </row>
    <row r="22" spans="1:19" x14ac:dyDescent="0.2">
      <c r="A22" t="s">
        <v>13</v>
      </c>
      <c r="B22">
        <v>0</v>
      </c>
      <c r="C22">
        <v>36</v>
      </c>
      <c r="D22">
        <v>0</v>
      </c>
      <c r="F22" t="s">
        <v>13</v>
      </c>
      <c r="G22">
        <v>97</v>
      </c>
      <c r="H22">
        <v>101</v>
      </c>
      <c r="I22">
        <f t="shared" si="0"/>
        <v>96.039603960396036</v>
      </c>
      <c r="K22" t="s">
        <v>13</v>
      </c>
      <c r="L22">
        <v>0</v>
      </c>
      <c r="M22">
        <v>36</v>
      </c>
      <c r="N22">
        <v>0</v>
      </c>
    </row>
    <row r="23" spans="1:19" x14ac:dyDescent="0.2">
      <c r="A23" t="s">
        <v>24</v>
      </c>
      <c r="B23">
        <v>0</v>
      </c>
      <c r="C23">
        <v>26</v>
      </c>
      <c r="D23">
        <v>0</v>
      </c>
      <c r="F23" t="s">
        <v>24</v>
      </c>
      <c r="G23">
        <v>0</v>
      </c>
      <c r="H23">
        <v>101</v>
      </c>
      <c r="I23">
        <v>0</v>
      </c>
      <c r="K23" t="s">
        <v>24</v>
      </c>
      <c r="L23">
        <v>0</v>
      </c>
      <c r="M23">
        <v>26</v>
      </c>
      <c r="N23">
        <v>0</v>
      </c>
    </row>
    <row r="24" spans="1:19" x14ac:dyDescent="0.2">
      <c r="A24" t="s">
        <v>9</v>
      </c>
      <c r="B24">
        <v>0</v>
      </c>
      <c r="C24">
        <v>28</v>
      </c>
      <c r="D24">
        <v>0</v>
      </c>
      <c r="F24" t="s">
        <v>9</v>
      </c>
      <c r="G24">
        <v>0</v>
      </c>
      <c r="H24">
        <v>82</v>
      </c>
      <c r="I24">
        <f t="shared" si="0"/>
        <v>0</v>
      </c>
      <c r="K24" t="s">
        <v>9</v>
      </c>
      <c r="L24">
        <v>0</v>
      </c>
      <c r="M24">
        <v>28</v>
      </c>
      <c r="N24">
        <v>0</v>
      </c>
    </row>
    <row r="25" spans="1:19" x14ac:dyDescent="0.2">
      <c r="A25" t="s">
        <v>25</v>
      </c>
      <c r="B25">
        <v>0</v>
      </c>
      <c r="C25">
        <v>21</v>
      </c>
      <c r="D25">
        <v>0</v>
      </c>
      <c r="F25" t="s">
        <v>25</v>
      </c>
      <c r="G25">
        <v>76</v>
      </c>
      <c r="H25">
        <v>76</v>
      </c>
      <c r="I25">
        <f t="shared" si="0"/>
        <v>100</v>
      </c>
      <c r="K25" t="s">
        <v>25</v>
      </c>
      <c r="L25">
        <v>0</v>
      </c>
      <c r="M25">
        <v>21</v>
      </c>
      <c r="N25">
        <v>0</v>
      </c>
    </row>
    <row r="26" spans="1:19" x14ac:dyDescent="0.2">
      <c r="A26" t="s">
        <v>6</v>
      </c>
      <c r="B26">
        <v>0</v>
      </c>
      <c r="C26">
        <v>33</v>
      </c>
      <c r="D26">
        <v>0</v>
      </c>
      <c r="F26" t="s">
        <v>6</v>
      </c>
      <c r="G26">
        <v>111</v>
      </c>
      <c r="H26">
        <v>111</v>
      </c>
      <c r="I26">
        <f t="shared" si="0"/>
        <v>100</v>
      </c>
      <c r="K26" t="s">
        <v>6</v>
      </c>
      <c r="L26">
        <v>0</v>
      </c>
      <c r="M26">
        <v>33</v>
      </c>
      <c r="N26">
        <v>0</v>
      </c>
    </row>
    <row r="27" spans="1:19" x14ac:dyDescent="0.2">
      <c r="A27" t="s">
        <v>16</v>
      </c>
      <c r="B27">
        <v>13</v>
      </c>
      <c r="C27">
        <v>42</v>
      </c>
      <c r="D27">
        <f>(B27/C27)*100</f>
        <v>30.952380952380953</v>
      </c>
      <c r="F27" t="s">
        <v>16</v>
      </c>
      <c r="G27">
        <v>96</v>
      </c>
      <c r="H27">
        <v>107</v>
      </c>
      <c r="I27">
        <f t="shared" si="0"/>
        <v>89.719626168224295</v>
      </c>
      <c r="K27" t="s">
        <v>16</v>
      </c>
      <c r="L27">
        <v>0</v>
      </c>
      <c r="M27">
        <v>32</v>
      </c>
      <c r="N27">
        <v>0</v>
      </c>
    </row>
    <row r="28" spans="1:19" x14ac:dyDescent="0.2">
      <c r="A28" t="s">
        <v>7</v>
      </c>
      <c r="B28">
        <v>0</v>
      </c>
      <c r="C28">
        <v>42</v>
      </c>
      <c r="D28">
        <v>0</v>
      </c>
      <c r="F28" t="s">
        <v>7</v>
      </c>
      <c r="G28">
        <v>102</v>
      </c>
      <c r="H28">
        <v>102</v>
      </c>
      <c r="I28">
        <f t="shared" si="0"/>
        <v>100</v>
      </c>
      <c r="K28" t="s">
        <v>7</v>
      </c>
      <c r="L28">
        <v>0</v>
      </c>
      <c r="M28">
        <v>42</v>
      </c>
      <c r="N28">
        <v>0</v>
      </c>
    </row>
    <row r="32" spans="1:19" x14ac:dyDescent="0.2">
      <c r="F32" s="1"/>
    </row>
    <row r="34" spans="6:6" x14ac:dyDescent="0.2">
      <c r="F34" s="1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13A17-6B11-9343-BCC0-20F7B3490DC5}">
  <sheetPr>
    <tabColor rgb="FF00B050"/>
  </sheetPr>
  <dimension ref="A1:O50"/>
  <sheetViews>
    <sheetView workbookViewId="0">
      <selection activeCell="L18" sqref="L18"/>
    </sheetView>
  </sheetViews>
  <sheetFormatPr baseColWidth="10" defaultRowHeight="15" x14ac:dyDescent="0.2"/>
  <sheetData>
    <row r="1" spans="1:12" x14ac:dyDescent="0.2">
      <c r="A1" s="121" t="s">
        <v>173</v>
      </c>
      <c r="B1" s="121"/>
      <c r="C1" s="121"/>
      <c r="F1" s="121" t="s">
        <v>68</v>
      </c>
      <c r="G1" s="121"/>
      <c r="H1" s="121"/>
      <c r="J1" s="121" t="s">
        <v>69</v>
      </c>
      <c r="K1" s="121"/>
      <c r="L1" s="121"/>
    </row>
    <row r="2" spans="1:12" x14ac:dyDescent="0.2">
      <c r="A2" t="s">
        <v>28</v>
      </c>
      <c r="F2" t="s">
        <v>28</v>
      </c>
      <c r="J2" t="s">
        <v>28</v>
      </c>
    </row>
    <row r="3" spans="1:12" x14ac:dyDescent="0.2">
      <c r="A3" t="s">
        <v>170</v>
      </c>
      <c r="B3" t="s">
        <v>171</v>
      </c>
      <c r="C3" t="s">
        <v>122</v>
      </c>
      <c r="F3" t="s">
        <v>170</v>
      </c>
      <c r="G3" t="s">
        <v>171</v>
      </c>
      <c r="H3" t="s">
        <v>122</v>
      </c>
      <c r="J3" t="s">
        <v>170</v>
      </c>
      <c r="K3" t="s">
        <v>171</v>
      </c>
      <c r="L3" t="s">
        <v>122</v>
      </c>
    </row>
    <row r="4" spans="1:12" x14ac:dyDescent="0.2">
      <c r="A4">
        <v>129</v>
      </c>
      <c r="B4">
        <v>23</v>
      </c>
      <c r="C4">
        <f>A4+B4</f>
        <v>152</v>
      </c>
      <c r="F4">
        <v>206</v>
      </c>
      <c r="G4">
        <v>35</v>
      </c>
      <c r="H4">
        <f>F4+G4</f>
        <v>241</v>
      </c>
      <c r="J4">
        <v>145</v>
      </c>
      <c r="K4">
        <v>20</v>
      </c>
      <c r="L4">
        <f>J4+K4</f>
        <v>165</v>
      </c>
    </row>
    <row r="5" spans="1:12" x14ac:dyDescent="0.2">
      <c r="A5">
        <f>(A4/C4)*100</f>
        <v>84.868421052631575</v>
      </c>
      <c r="B5">
        <f>(B4/C4)*100</f>
        <v>15.131578947368421</v>
      </c>
      <c r="C5">
        <v>100</v>
      </c>
      <c r="F5">
        <f>(F4/H4)*100</f>
        <v>85.477178423236509</v>
      </c>
      <c r="G5">
        <f>(G4/H4)*100</f>
        <v>14.522821576763487</v>
      </c>
      <c r="H5">
        <v>100</v>
      </c>
      <c r="J5">
        <f>(J4/L4)*100</f>
        <v>87.878787878787875</v>
      </c>
      <c r="K5">
        <f>(K4/L4)*100</f>
        <v>12.121212121212121</v>
      </c>
      <c r="L5">
        <v>100</v>
      </c>
    </row>
    <row r="7" spans="1:12" x14ac:dyDescent="0.2">
      <c r="A7" t="s">
        <v>93</v>
      </c>
      <c r="F7" t="s">
        <v>93</v>
      </c>
      <c r="J7" t="s">
        <v>93</v>
      </c>
    </row>
    <row r="8" spans="1:12" x14ac:dyDescent="0.2">
      <c r="A8" t="s">
        <v>170</v>
      </c>
      <c r="B8" t="s">
        <v>171</v>
      </c>
      <c r="C8" t="s">
        <v>122</v>
      </c>
      <c r="F8" t="s">
        <v>170</v>
      </c>
      <c r="G8" t="s">
        <v>171</v>
      </c>
      <c r="H8" t="s">
        <v>122</v>
      </c>
      <c r="J8" t="s">
        <v>170</v>
      </c>
      <c r="K8" t="s">
        <v>171</v>
      </c>
      <c r="L8" t="s">
        <v>122</v>
      </c>
    </row>
    <row r="9" spans="1:12" x14ac:dyDescent="0.2">
      <c r="A9">
        <v>132</v>
      </c>
      <c r="B9">
        <v>48</v>
      </c>
      <c r="C9">
        <f>A9+B9</f>
        <v>180</v>
      </c>
      <c r="F9">
        <v>200</v>
      </c>
      <c r="G9">
        <v>47</v>
      </c>
      <c r="H9">
        <f>F9+G9</f>
        <v>247</v>
      </c>
      <c r="J9">
        <v>173</v>
      </c>
      <c r="K9">
        <v>38</v>
      </c>
      <c r="L9">
        <f>J9+K9</f>
        <v>211</v>
      </c>
    </row>
    <row r="10" spans="1:12" x14ac:dyDescent="0.2">
      <c r="A10">
        <f>(A9/C9)*100</f>
        <v>73.333333333333329</v>
      </c>
      <c r="B10">
        <f>(B9/C9)*100</f>
        <v>26.666666666666668</v>
      </c>
      <c r="C10">
        <v>100</v>
      </c>
      <c r="F10">
        <f>(F9/H9)*100</f>
        <v>80.97165991902834</v>
      </c>
      <c r="G10">
        <f>(G9/H9)*100</f>
        <v>19.02834008097166</v>
      </c>
      <c r="H10">
        <v>100</v>
      </c>
      <c r="J10">
        <f>(J9/L9)*100</f>
        <v>81.990521327014221</v>
      </c>
      <c r="K10">
        <f>(K9/L9)*100</f>
        <v>18.009478672985782</v>
      </c>
      <c r="L10">
        <v>100</v>
      </c>
    </row>
    <row r="12" spans="1:12" x14ac:dyDescent="0.2">
      <c r="A12" s="122" t="s">
        <v>172</v>
      </c>
      <c r="B12" s="122"/>
      <c r="C12" s="122"/>
      <c r="D12" s="122"/>
      <c r="E12" s="122"/>
    </row>
    <row r="14" spans="1:12" x14ac:dyDescent="0.2">
      <c r="A14" t="s">
        <v>28</v>
      </c>
    </row>
    <row r="15" spans="1:12" x14ac:dyDescent="0.2">
      <c r="A15" t="s">
        <v>170</v>
      </c>
      <c r="B15" t="s">
        <v>171</v>
      </c>
      <c r="C15" t="s">
        <v>122</v>
      </c>
      <c r="D15" t="s">
        <v>63</v>
      </c>
      <c r="E15" t="s">
        <v>59</v>
      </c>
    </row>
    <row r="16" spans="1:12" x14ac:dyDescent="0.2">
      <c r="A16">
        <f>A4+F4+J4</f>
        <v>480</v>
      </c>
      <c r="B16">
        <f>B4+G4+K4</f>
        <v>78</v>
      </c>
      <c r="C16">
        <f>A16+B16</f>
        <v>558</v>
      </c>
      <c r="D16">
        <f>STDEVA(A5,F5,J5)</f>
        <v>1.5916774139924375</v>
      </c>
      <c r="E16">
        <f>D16/SQRT(3)</f>
        <v>0.91895538343158123</v>
      </c>
    </row>
    <row r="17" spans="1:13" x14ac:dyDescent="0.2">
      <c r="A17">
        <f>(A16/C16)*100</f>
        <v>86.021505376344081</v>
      </c>
      <c r="B17">
        <f>(B16/C16)*100</f>
        <v>13.978494623655912</v>
      </c>
      <c r="C17">
        <v>100</v>
      </c>
      <c r="D17">
        <f>STDEVA(B5,G5,K5)</f>
        <v>1.5916774139924375</v>
      </c>
      <c r="E17">
        <f>D17/SQRT(3)</f>
        <v>0.91895538343158123</v>
      </c>
    </row>
    <row r="19" spans="1:13" x14ac:dyDescent="0.2">
      <c r="A19" t="s">
        <v>93</v>
      </c>
    </row>
    <row r="20" spans="1:13" x14ac:dyDescent="0.2">
      <c r="A20" t="s">
        <v>170</v>
      </c>
      <c r="B20" t="s">
        <v>171</v>
      </c>
      <c r="C20" t="s">
        <v>122</v>
      </c>
      <c r="D20" t="s">
        <v>63</v>
      </c>
      <c r="E20" t="s">
        <v>59</v>
      </c>
    </row>
    <row r="21" spans="1:13" x14ac:dyDescent="0.2">
      <c r="A21">
        <f>A9+F9+J9</f>
        <v>505</v>
      </c>
      <c r="B21">
        <f>B9+G9+K9</f>
        <v>133</v>
      </c>
      <c r="C21">
        <f>A21+B21</f>
        <v>638</v>
      </c>
      <c r="D21">
        <f>STDEVA(A10,F10,J10)</f>
        <v>4.7316138113112949</v>
      </c>
      <c r="E21">
        <f>D21/SQRT(3)</f>
        <v>2.7317985076619276</v>
      </c>
    </row>
    <row r="22" spans="1:13" x14ac:dyDescent="0.2">
      <c r="A22">
        <f>(A21/C21)*100</f>
        <v>79.153605015673975</v>
      </c>
      <c r="B22">
        <f>(B21/C21)*100</f>
        <v>20.846394984326018</v>
      </c>
      <c r="C22">
        <v>100</v>
      </c>
      <c r="D22">
        <f>STDEVA(B10,G10,K10)</f>
        <v>4.7316138113112967</v>
      </c>
      <c r="E22">
        <f>D22/SQRT(3)</f>
        <v>2.7317985076619284</v>
      </c>
    </row>
    <row r="25" spans="1:13" ht="16" thickBot="1" x14ac:dyDescent="0.25">
      <c r="A25" t="s">
        <v>31</v>
      </c>
      <c r="D25" t="s">
        <v>176</v>
      </c>
    </row>
    <row r="26" spans="1:13" x14ac:dyDescent="0.2">
      <c r="G26" s="5" t="s">
        <v>174</v>
      </c>
      <c r="H26" s="6" t="s">
        <v>175</v>
      </c>
    </row>
    <row r="27" spans="1:13" ht="16" thickBot="1" x14ac:dyDescent="0.25">
      <c r="A27" t="s">
        <v>34</v>
      </c>
      <c r="G27" s="7">
        <v>84.868421100000006</v>
      </c>
      <c r="H27" s="8">
        <v>73.333332999999996</v>
      </c>
    </row>
    <row r="28" spans="1:13" x14ac:dyDescent="0.2">
      <c r="A28" s="3" t="s">
        <v>35</v>
      </c>
      <c r="B28" s="3" t="s">
        <v>36</v>
      </c>
      <c r="C28" s="3" t="s">
        <v>37</v>
      </c>
      <c r="D28" s="3" t="s">
        <v>38</v>
      </c>
      <c r="E28" s="3" t="s">
        <v>39</v>
      </c>
      <c r="G28" s="7">
        <v>85.4771784</v>
      </c>
      <c r="H28" s="8">
        <v>80.971659900000006</v>
      </c>
    </row>
    <row r="29" spans="1:13" ht="16" thickBot="1" x14ac:dyDescent="0.25">
      <c r="A29" t="s">
        <v>41</v>
      </c>
      <c r="B29">
        <v>3</v>
      </c>
      <c r="C29">
        <v>258.22438740000001</v>
      </c>
      <c r="D29">
        <v>86.074795800000004</v>
      </c>
      <c r="E29">
        <v>2.5334369852226337</v>
      </c>
      <c r="G29" s="9">
        <v>87.878787900000006</v>
      </c>
      <c r="H29" s="10">
        <v>81.990521299999997</v>
      </c>
      <c r="L29" s="13"/>
      <c r="M29" s="13"/>
    </row>
    <row r="30" spans="1:13" ht="16" thickBot="1" x14ac:dyDescent="0.25">
      <c r="A30" s="4" t="s">
        <v>42</v>
      </c>
      <c r="B30" s="4">
        <v>3</v>
      </c>
      <c r="C30" s="4">
        <v>236.29551420000001</v>
      </c>
      <c r="D30" s="4">
        <v>78.7651714</v>
      </c>
      <c r="E30" s="4">
        <v>22.388170940888436</v>
      </c>
    </row>
    <row r="33" spans="1:15" ht="16" thickBot="1" x14ac:dyDescent="0.25">
      <c r="A33" t="s">
        <v>44</v>
      </c>
    </row>
    <row r="34" spans="1:15" x14ac:dyDescent="0.2">
      <c r="A34" s="3" t="s">
        <v>45</v>
      </c>
      <c r="B34" s="3" t="s">
        <v>46</v>
      </c>
      <c r="C34" s="3" t="s">
        <v>47</v>
      </c>
      <c r="D34" s="3" t="s">
        <v>48</v>
      </c>
      <c r="E34" s="3" t="s">
        <v>49</v>
      </c>
      <c r="F34" s="3" t="s">
        <v>50</v>
      </c>
      <c r="G34" s="3" t="s">
        <v>51</v>
      </c>
    </row>
    <row r="35" spans="1:15" x14ac:dyDescent="0.2">
      <c r="A35" t="s">
        <v>52</v>
      </c>
      <c r="B35">
        <v>80.145913303613128</v>
      </c>
      <c r="C35">
        <v>1</v>
      </c>
      <c r="D35">
        <v>80.145913303613128</v>
      </c>
      <c r="E35">
        <v>6.4318412793615938</v>
      </c>
      <c r="F35">
        <v>6.4246069242733558E-2</v>
      </c>
      <c r="G35">
        <v>7.708647422176786</v>
      </c>
      <c r="I35" s="13"/>
      <c r="J35" s="13"/>
      <c r="K35" s="13"/>
      <c r="L35" s="13"/>
      <c r="M35" s="13"/>
      <c r="N35" s="13"/>
      <c r="O35" s="13"/>
    </row>
    <row r="36" spans="1:15" x14ac:dyDescent="0.2">
      <c r="A36" t="s">
        <v>53</v>
      </c>
      <c r="B36">
        <v>49.843215852222137</v>
      </c>
      <c r="C36">
        <v>4</v>
      </c>
      <c r="D36">
        <v>12.460803963055534</v>
      </c>
    </row>
    <row r="38" spans="1:15" ht="16" thickBot="1" x14ac:dyDescent="0.25">
      <c r="A38" s="4" t="s">
        <v>55</v>
      </c>
      <c r="B38" s="4">
        <v>129.98912915583526</v>
      </c>
      <c r="C38" s="4">
        <v>5</v>
      </c>
      <c r="D38" s="4"/>
      <c r="E38" s="4"/>
      <c r="F38" s="4"/>
      <c r="G38" s="4"/>
    </row>
    <row r="44" spans="1:15" x14ac:dyDescent="0.2">
      <c r="I44" s="13"/>
      <c r="J44" s="13"/>
      <c r="K44" s="13"/>
      <c r="L44" s="13"/>
      <c r="M44" s="13"/>
    </row>
    <row r="50" spans="9:15" x14ac:dyDescent="0.2">
      <c r="I50" s="13"/>
      <c r="J50" s="13"/>
      <c r="K50" s="13"/>
      <c r="L50" s="13"/>
      <c r="M50" s="13"/>
      <c r="N50" s="13"/>
      <c r="O50" s="13"/>
    </row>
  </sheetData>
  <mergeCells count="4">
    <mergeCell ref="A12:E12"/>
    <mergeCell ref="A1:C1"/>
    <mergeCell ref="F1:H1"/>
    <mergeCell ref="J1:L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DC063-7A56-984D-9D32-C36E801ED72B}">
  <sheetPr>
    <tabColor rgb="FF00B050"/>
  </sheetPr>
  <dimension ref="A1:W38"/>
  <sheetViews>
    <sheetView topLeftCell="A7" workbookViewId="0">
      <selection activeCell="B17" sqref="B17:C18"/>
    </sheetView>
  </sheetViews>
  <sheetFormatPr baseColWidth="10" defaultRowHeight="15" x14ac:dyDescent="0.2"/>
  <cols>
    <col min="1" max="1" width="23.6640625" customWidth="1"/>
    <col min="2" max="2" width="14.5" customWidth="1"/>
    <col min="3" max="3" width="11.1640625" customWidth="1"/>
    <col min="4" max="4" width="12.33203125" customWidth="1"/>
    <col min="5" max="5" width="6.83203125" customWidth="1"/>
    <col min="6" max="6" width="24.5" customWidth="1"/>
    <col min="10" max="10" width="9.83203125" customWidth="1"/>
    <col min="11" max="11" width="23.33203125" customWidth="1"/>
    <col min="12" max="12" width="12.6640625" customWidth="1"/>
    <col min="13" max="13" width="9.5" customWidth="1"/>
    <col min="16" max="16" width="7.83203125" customWidth="1"/>
  </cols>
  <sheetData>
    <row r="1" spans="1:14" x14ac:dyDescent="0.2">
      <c r="A1" s="12" t="s">
        <v>113</v>
      </c>
      <c r="B1" t="s">
        <v>160</v>
      </c>
      <c r="C1" t="s">
        <v>153</v>
      </c>
      <c r="D1" t="s">
        <v>154</v>
      </c>
      <c r="F1" s="12" t="s">
        <v>114</v>
      </c>
      <c r="G1" t="s">
        <v>55</v>
      </c>
      <c r="H1" t="s">
        <v>153</v>
      </c>
      <c r="I1" t="s">
        <v>154</v>
      </c>
      <c r="K1" s="12" t="s">
        <v>129</v>
      </c>
      <c r="L1" t="s">
        <v>55</v>
      </c>
      <c r="M1" t="s">
        <v>153</v>
      </c>
      <c r="N1" t="s">
        <v>154</v>
      </c>
    </row>
    <row r="2" spans="1:14" x14ac:dyDescent="0.2">
      <c r="A2" s="14" t="s">
        <v>155</v>
      </c>
      <c r="B2">
        <v>270</v>
      </c>
      <c r="C2">
        <f>25+26+41+26+23</f>
        <v>141</v>
      </c>
      <c r="D2">
        <f>B2/C2</f>
        <v>1.9148936170212767</v>
      </c>
      <c r="F2" s="14" t="s">
        <v>155</v>
      </c>
      <c r="G2">
        <v>364</v>
      </c>
      <c r="H2">
        <f>29+36+50+31+36</f>
        <v>182</v>
      </c>
      <c r="I2">
        <f>G2/H2</f>
        <v>2</v>
      </c>
      <c r="K2" s="14" t="s">
        <v>155</v>
      </c>
      <c r="L2">
        <v>282</v>
      </c>
      <c r="M2">
        <f>22+26+17+21</f>
        <v>86</v>
      </c>
      <c r="N2">
        <f>L2/M2</f>
        <v>3.2790697674418605</v>
      </c>
    </row>
    <row r="3" spans="1:14" x14ac:dyDescent="0.2">
      <c r="A3" s="14"/>
      <c r="F3" s="14" t="s">
        <v>156</v>
      </c>
      <c r="K3" s="14" t="s">
        <v>156</v>
      </c>
    </row>
    <row r="4" spans="1:14" x14ac:dyDescent="0.2">
      <c r="A4" s="14" t="s">
        <v>157</v>
      </c>
      <c r="B4">
        <v>268</v>
      </c>
      <c r="C4">
        <f>137</f>
        <v>137</v>
      </c>
      <c r="D4">
        <f>B4/C4</f>
        <v>1.9562043795620438</v>
      </c>
      <c r="F4" s="14" t="s">
        <v>157</v>
      </c>
      <c r="G4">
        <f>146+224</f>
        <v>370</v>
      </c>
      <c r="H4">
        <f>32+58+45+37+25</f>
        <v>197</v>
      </c>
      <c r="I4">
        <f>G4/H4</f>
        <v>1.8781725888324874</v>
      </c>
      <c r="K4" s="14" t="s">
        <v>157</v>
      </c>
      <c r="L4">
        <v>255</v>
      </c>
      <c r="M4">
        <f>25+23+35</f>
        <v>83</v>
      </c>
      <c r="N4">
        <f>L4/M4</f>
        <v>3.072289156626506</v>
      </c>
    </row>
    <row r="5" spans="1:14" x14ac:dyDescent="0.2">
      <c r="A5" s="14"/>
      <c r="F5" s="14" t="s">
        <v>156</v>
      </c>
      <c r="K5" s="14" t="s">
        <v>156</v>
      </c>
    </row>
    <row r="6" spans="1:14" x14ac:dyDescent="0.2">
      <c r="A6" s="14" t="s">
        <v>158</v>
      </c>
      <c r="B6">
        <v>370</v>
      </c>
      <c r="C6">
        <v>175</v>
      </c>
      <c r="D6">
        <f>B6/C6</f>
        <v>2.1142857142857143</v>
      </c>
      <c r="F6" s="14" t="s">
        <v>158</v>
      </c>
      <c r="G6">
        <v>395</v>
      </c>
      <c r="H6">
        <f>53+38+67+44</f>
        <v>202</v>
      </c>
      <c r="I6">
        <f>G6/H6</f>
        <v>1.9554455445544554</v>
      </c>
      <c r="K6" s="14" t="s">
        <v>158</v>
      </c>
      <c r="L6">
        <v>370</v>
      </c>
      <c r="M6">
        <f>77+47+56+38</f>
        <v>218</v>
      </c>
      <c r="N6">
        <f>L6/M6</f>
        <v>1.6972477064220184</v>
      </c>
    </row>
    <row r="7" spans="1:14" x14ac:dyDescent="0.2">
      <c r="A7" s="14"/>
      <c r="F7" s="14"/>
      <c r="K7" s="14" t="s">
        <v>156</v>
      </c>
    </row>
    <row r="10" spans="1:14" x14ac:dyDescent="0.2">
      <c r="B10" t="s">
        <v>159</v>
      </c>
      <c r="C10" t="s">
        <v>63</v>
      </c>
      <c r="D10" t="s">
        <v>59</v>
      </c>
    </row>
    <row r="11" spans="1:14" x14ac:dyDescent="0.2">
      <c r="A11" s="15">
        <v>1861</v>
      </c>
      <c r="B11">
        <f>AVERAGE(D2,I2,N2)</f>
        <v>2.3979877948210455</v>
      </c>
      <c r="C11">
        <f>STDEVA(D2,I2,N2)</f>
        <v>0.76422500349306199</v>
      </c>
      <c r="D11">
        <f>(C11/SQRT(3))</f>
        <v>0.44122551148816208</v>
      </c>
    </row>
    <row r="12" spans="1:14" x14ac:dyDescent="0.2">
      <c r="A12" s="15">
        <v>1863</v>
      </c>
      <c r="B12">
        <f>AVERAGE(D4,I4,N4)</f>
        <v>2.3022220416736792</v>
      </c>
      <c r="C12">
        <f>STDEVA(D4,I4,R43)</f>
        <v>5.5176808372998945E-2</v>
      </c>
      <c r="D12">
        <f t="shared" ref="D12:D13" si="0">(C12/SQRT(3))</f>
        <v>3.1856345167175337E-2</v>
      </c>
    </row>
    <row r="13" spans="1:14" x14ac:dyDescent="0.2">
      <c r="A13" s="15">
        <v>1865</v>
      </c>
      <c r="B13">
        <f>AVERAGE(D6,I6,N6)</f>
        <v>1.9223263217540627</v>
      </c>
      <c r="C13">
        <f>STDEVA(D6,I6,N6)</f>
        <v>0.21048239163860374</v>
      </c>
      <c r="D13">
        <f t="shared" si="0"/>
        <v>0.12152206547222412</v>
      </c>
    </row>
    <row r="17" spans="1:21" x14ac:dyDescent="0.2">
      <c r="B17" s="114" t="s">
        <v>60</v>
      </c>
      <c r="C17" s="114"/>
    </row>
    <row r="18" spans="1:21" x14ac:dyDescent="0.2">
      <c r="B18" s="11" t="s">
        <v>54</v>
      </c>
      <c r="C18" s="12"/>
    </row>
    <row r="25" spans="1:21" x14ac:dyDescent="0.2">
      <c r="A25" t="s">
        <v>31</v>
      </c>
      <c r="C25" s="14" t="s">
        <v>422</v>
      </c>
      <c r="I25" t="s">
        <v>31</v>
      </c>
      <c r="L25" s="14" t="s">
        <v>423</v>
      </c>
      <c r="Q25" t="s">
        <v>31</v>
      </c>
      <c r="T25" s="14" t="s">
        <v>396</v>
      </c>
    </row>
    <row r="27" spans="1:21" ht="16" thickBot="1" x14ac:dyDescent="0.25">
      <c r="A27" t="s">
        <v>34</v>
      </c>
      <c r="I27" t="s">
        <v>34</v>
      </c>
      <c r="Q27" t="s">
        <v>34</v>
      </c>
    </row>
    <row r="28" spans="1:21" x14ac:dyDescent="0.2">
      <c r="A28" s="3" t="s">
        <v>35</v>
      </c>
      <c r="B28" s="3" t="s">
        <v>36</v>
      </c>
      <c r="C28" s="3" t="s">
        <v>37</v>
      </c>
      <c r="D28" s="3" t="s">
        <v>38</v>
      </c>
      <c r="E28" s="3" t="s">
        <v>39</v>
      </c>
      <c r="I28" s="3" t="s">
        <v>35</v>
      </c>
      <c r="J28" s="3" t="s">
        <v>36</v>
      </c>
      <c r="K28" s="3" t="s">
        <v>37</v>
      </c>
      <c r="L28" s="3" t="s">
        <v>38</v>
      </c>
      <c r="M28" s="3" t="s">
        <v>39</v>
      </c>
      <c r="Q28" s="3" t="s">
        <v>35</v>
      </c>
      <c r="R28" s="3" t="s">
        <v>36</v>
      </c>
      <c r="S28" s="3" t="s">
        <v>37</v>
      </c>
      <c r="T28" s="3" t="s">
        <v>38</v>
      </c>
      <c r="U28" s="3" t="s">
        <v>39</v>
      </c>
    </row>
    <row r="29" spans="1:21" x14ac:dyDescent="0.2">
      <c r="A29" t="s">
        <v>41</v>
      </c>
      <c r="B29">
        <v>3</v>
      </c>
      <c r="C29">
        <v>7.193963384463137</v>
      </c>
      <c r="D29">
        <v>2.3979877948210455</v>
      </c>
      <c r="E29">
        <v>0.58403985596397057</v>
      </c>
      <c r="I29" t="s">
        <v>41</v>
      </c>
      <c r="J29">
        <v>3</v>
      </c>
      <c r="K29">
        <v>6.9066661250210375</v>
      </c>
      <c r="L29">
        <v>2.3022220416736792</v>
      </c>
      <c r="M29">
        <v>0.44627476123994292</v>
      </c>
      <c r="Q29" t="s">
        <v>41</v>
      </c>
      <c r="R29">
        <v>3</v>
      </c>
      <c r="S29">
        <v>7.193963384463137</v>
      </c>
      <c r="T29">
        <v>2.3979877948210455</v>
      </c>
      <c r="U29">
        <v>0.58403985596397057</v>
      </c>
    </row>
    <row r="30" spans="1:21" ht="16" thickBot="1" x14ac:dyDescent="0.25">
      <c r="A30" s="4" t="s">
        <v>42</v>
      </c>
      <c r="B30" s="4">
        <v>3</v>
      </c>
      <c r="C30" s="4">
        <v>6.9066661250210375</v>
      </c>
      <c r="D30" s="4">
        <v>2.3022220416736792</v>
      </c>
      <c r="E30" s="4">
        <v>0.44627476123994292</v>
      </c>
      <c r="I30" s="4" t="s">
        <v>42</v>
      </c>
      <c r="J30" s="4">
        <v>3</v>
      </c>
      <c r="K30" s="4">
        <v>5.7669789652621883</v>
      </c>
      <c r="L30" s="4">
        <v>1.9223263217540627</v>
      </c>
      <c r="M30" s="4">
        <v>4.4302837189906567E-2</v>
      </c>
      <c r="Q30" s="4" t="s">
        <v>42</v>
      </c>
      <c r="R30" s="4">
        <v>3</v>
      </c>
      <c r="S30" s="4">
        <v>5.7669789652621883</v>
      </c>
      <c r="T30" s="4">
        <v>1.9223263217540627</v>
      </c>
      <c r="U30" s="4">
        <v>4.4302837189906567E-2</v>
      </c>
    </row>
    <row r="33" spans="1:23" ht="16" thickBot="1" x14ac:dyDescent="0.25">
      <c r="A33" t="s">
        <v>44</v>
      </c>
      <c r="I33" t="s">
        <v>44</v>
      </c>
      <c r="Q33" t="s">
        <v>44</v>
      </c>
    </row>
    <row r="34" spans="1:23" x14ac:dyDescent="0.2">
      <c r="A34" s="3" t="s">
        <v>45</v>
      </c>
      <c r="B34" s="3" t="s">
        <v>46</v>
      </c>
      <c r="C34" s="3" t="s">
        <v>47</v>
      </c>
      <c r="D34" s="3" t="s">
        <v>48</v>
      </c>
      <c r="E34" s="3" t="s">
        <v>49</v>
      </c>
      <c r="F34" s="3" t="s">
        <v>50</v>
      </c>
      <c r="G34" s="3" t="s">
        <v>51</v>
      </c>
      <c r="I34" s="3" t="s">
        <v>45</v>
      </c>
      <c r="J34" s="3" t="s">
        <v>46</v>
      </c>
      <c r="K34" s="3" t="s">
        <v>47</v>
      </c>
      <c r="L34" s="3" t="s">
        <v>48</v>
      </c>
      <c r="M34" s="3" t="s">
        <v>49</v>
      </c>
      <c r="N34" s="3" t="s">
        <v>50</v>
      </c>
      <c r="O34" s="3" t="s">
        <v>51</v>
      </c>
      <c r="Q34" s="3" t="s">
        <v>45</v>
      </c>
      <c r="R34" s="3" t="s">
        <v>46</v>
      </c>
      <c r="S34" s="3" t="s">
        <v>47</v>
      </c>
      <c r="T34" s="3" t="s">
        <v>48</v>
      </c>
      <c r="U34" s="3" t="s">
        <v>49</v>
      </c>
      <c r="V34" s="3" t="s">
        <v>50</v>
      </c>
      <c r="W34" s="3" t="s">
        <v>51</v>
      </c>
    </row>
    <row r="35" spans="1:23" x14ac:dyDescent="0.2">
      <c r="A35" t="s">
        <v>52</v>
      </c>
      <c r="B35">
        <v>1.3756619213823651E-2</v>
      </c>
      <c r="C35">
        <v>1</v>
      </c>
      <c r="D35">
        <v>1.3756619213823651E-2</v>
      </c>
      <c r="E35">
        <v>2.6703725219693806E-2</v>
      </c>
      <c r="F35">
        <v>0.87811752841511059</v>
      </c>
      <c r="G35">
        <v>7.708647422176786</v>
      </c>
      <c r="I35" t="s">
        <v>52</v>
      </c>
      <c r="J35">
        <v>0.21648113701986549</v>
      </c>
      <c r="K35">
        <v>1</v>
      </c>
      <c r="L35">
        <v>0.21648113701986549</v>
      </c>
      <c r="M35">
        <v>0.88255614489018008</v>
      </c>
      <c r="N35">
        <v>0.40069201318449427</v>
      </c>
      <c r="O35">
        <v>7.708647422176786</v>
      </c>
      <c r="Q35" t="s">
        <v>52</v>
      </c>
      <c r="R35">
        <v>0.33938075544037827</v>
      </c>
      <c r="S35">
        <v>1</v>
      </c>
      <c r="T35">
        <v>0.33938075544037827</v>
      </c>
      <c r="U35">
        <v>1.0802409549378382</v>
      </c>
      <c r="V35">
        <v>0.35733908175692231</v>
      </c>
      <c r="W35">
        <v>7.708647422176786</v>
      </c>
    </row>
    <row r="36" spans="1:23" x14ac:dyDescent="0.2">
      <c r="A36" t="s">
        <v>53</v>
      </c>
      <c r="B36">
        <v>2.0606292344078261</v>
      </c>
      <c r="C36">
        <v>4</v>
      </c>
      <c r="D36">
        <v>0.51515730860195652</v>
      </c>
      <c r="I36" t="s">
        <v>53</v>
      </c>
      <c r="J36">
        <v>0.98115519685969932</v>
      </c>
      <c r="K36">
        <v>4</v>
      </c>
      <c r="L36">
        <v>0.24528879921492483</v>
      </c>
      <c r="Q36" t="s">
        <v>53</v>
      </c>
      <c r="R36">
        <v>1.2566853863077529</v>
      </c>
      <c r="S36">
        <v>4</v>
      </c>
      <c r="T36">
        <v>0.31417134657693824</v>
      </c>
    </row>
    <row r="38" spans="1:23" ht="16" thickBot="1" x14ac:dyDescent="0.25">
      <c r="A38" s="4" t="s">
        <v>55</v>
      </c>
      <c r="B38" s="4">
        <v>2.0743858536216497</v>
      </c>
      <c r="C38" s="4">
        <v>5</v>
      </c>
      <c r="D38" s="4"/>
      <c r="E38" s="4"/>
      <c r="F38" s="4"/>
      <c r="G38" s="4"/>
      <c r="I38" s="4" t="s">
        <v>55</v>
      </c>
      <c r="J38" s="4">
        <v>1.1976363338795648</v>
      </c>
      <c r="K38" s="4">
        <v>5</v>
      </c>
      <c r="L38" s="4"/>
      <c r="M38" s="4"/>
      <c r="N38" s="4"/>
      <c r="O38" s="4"/>
      <c r="Q38" s="4" t="s">
        <v>55</v>
      </c>
      <c r="R38" s="4">
        <v>1.5960661417481312</v>
      </c>
      <c r="S38" s="4">
        <v>5</v>
      </c>
      <c r="T38" s="4"/>
      <c r="U38" s="4"/>
      <c r="V38" s="4"/>
      <c r="W38" s="4"/>
    </row>
  </sheetData>
  <mergeCells count="1">
    <mergeCell ref="B17:C1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953F-1C4E-384A-88CA-AE2465CE0353}">
  <sheetPr>
    <tabColor rgb="FF00B050"/>
  </sheetPr>
  <dimension ref="A1:S27"/>
  <sheetViews>
    <sheetView workbookViewId="0">
      <selection activeCell="R14" sqref="R14:S15"/>
    </sheetView>
  </sheetViews>
  <sheetFormatPr baseColWidth="10" defaultRowHeight="15" x14ac:dyDescent="0.2"/>
  <cols>
    <col min="1" max="1" width="5.6640625" customWidth="1"/>
    <col min="5" max="5" width="6" customWidth="1"/>
    <col min="6" max="6" width="5.6640625" customWidth="1"/>
    <col min="7" max="7" width="9" customWidth="1"/>
    <col min="10" max="10" width="13.5" customWidth="1"/>
    <col min="11" max="11" width="6.1640625" customWidth="1"/>
    <col min="15" max="15" width="7.33203125" customWidth="1"/>
    <col min="16" max="16" width="5.83203125" customWidth="1"/>
  </cols>
  <sheetData>
    <row r="1" spans="1:19" x14ac:dyDescent="0.2">
      <c r="B1" s="145" t="s">
        <v>355</v>
      </c>
      <c r="C1" s="145"/>
      <c r="G1" s="145" t="s">
        <v>355</v>
      </c>
      <c r="H1" s="145"/>
      <c r="L1" s="145" t="s">
        <v>355</v>
      </c>
      <c r="M1" s="145"/>
      <c r="Q1" s="145" t="s">
        <v>358</v>
      </c>
      <c r="R1" s="145"/>
    </row>
    <row r="2" spans="1:19" x14ac:dyDescent="0.2">
      <c r="B2" t="s">
        <v>176</v>
      </c>
      <c r="C2" t="s">
        <v>207</v>
      </c>
      <c r="D2" t="s">
        <v>55</v>
      </c>
      <c r="G2" t="s">
        <v>176</v>
      </c>
      <c r="H2" t="s">
        <v>207</v>
      </c>
      <c r="I2" t="s">
        <v>55</v>
      </c>
      <c r="L2" t="s">
        <v>176</v>
      </c>
      <c r="M2" t="s">
        <v>207</v>
      </c>
      <c r="N2" t="s">
        <v>55</v>
      </c>
      <c r="Q2" t="s">
        <v>176</v>
      </c>
      <c r="R2" t="s">
        <v>207</v>
      </c>
      <c r="S2" t="s">
        <v>55</v>
      </c>
    </row>
    <row r="3" spans="1:19" x14ac:dyDescent="0.2">
      <c r="A3" t="s">
        <v>156</v>
      </c>
      <c r="B3">
        <v>43.465045592705167</v>
      </c>
      <c r="C3">
        <v>56.534954407294833</v>
      </c>
      <c r="D3" s="1">
        <v>1</v>
      </c>
      <c r="F3" t="s">
        <v>156</v>
      </c>
      <c r="G3">
        <v>45.367412140575084</v>
      </c>
      <c r="H3">
        <v>54.632587859424916</v>
      </c>
      <c r="I3" s="1">
        <v>1</v>
      </c>
      <c r="K3" t="s">
        <v>156</v>
      </c>
      <c r="L3">
        <v>41.687542266719703</v>
      </c>
      <c r="M3">
        <v>58.312457733280297</v>
      </c>
      <c r="N3" s="1">
        <v>1</v>
      </c>
      <c r="P3" t="s">
        <v>156</v>
      </c>
      <c r="Q3" s="102">
        <f>AVERAGE(L3,G3,B3)</f>
        <v>43.506666666666653</v>
      </c>
      <c r="R3" s="102">
        <f>AVERAGE(M3,H3,C3)</f>
        <v>56.493333333333347</v>
      </c>
      <c r="S3" s="1">
        <v>1</v>
      </c>
    </row>
    <row r="5" spans="1:19" x14ac:dyDescent="0.2">
      <c r="B5" s="138" t="s">
        <v>356</v>
      </c>
      <c r="C5" s="138"/>
      <c r="G5" s="138" t="s">
        <v>356</v>
      </c>
      <c r="H5" s="138"/>
      <c r="L5" s="138" t="s">
        <v>356</v>
      </c>
      <c r="M5" s="138"/>
      <c r="Q5" s="138" t="s">
        <v>359</v>
      </c>
      <c r="R5" s="138"/>
    </row>
    <row r="6" spans="1:19" x14ac:dyDescent="0.2">
      <c r="B6" t="s">
        <v>176</v>
      </c>
      <c r="C6" t="s">
        <v>207</v>
      </c>
      <c r="D6" t="s">
        <v>55</v>
      </c>
      <c r="G6" t="s">
        <v>176</v>
      </c>
      <c r="H6" t="s">
        <v>207</v>
      </c>
      <c r="I6" t="s">
        <v>55</v>
      </c>
      <c r="L6" t="s">
        <v>176</v>
      </c>
      <c r="M6" t="s">
        <v>207</v>
      </c>
      <c r="N6" t="s">
        <v>55</v>
      </c>
      <c r="Q6" t="s">
        <v>176</v>
      </c>
      <c r="R6" t="s">
        <v>207</v>
      </c>
      <c r="S6" t="s">
        <v>55</v>
      </c>
    </row>
    <row r="7" spans="1:19" x14ac:dyDescent="0.2">
      <c r="A7" t="s">
        <v>156</v>
      </c>
      <c r="B7">
        <v>57.692307692307686</v>
      </c>
      <c r="C7">
        <v>42.307692307692307</v>
      </c>
      <c r="D7" s="1">
        <v>1</v>
      </c>
      <c r="F7" t="s">
        <v>156</v>
      </c>
      <c r="G7">
        <v>54.088050314465406</v>
      </c>
      <c r="H7">
        <v>45.911949685534594</v>
      </c>
      <c r="I7" s="1">
        <v>1</v>
      </c>
      <c r="K7" t="s">
        <v>156</v>
      </c>
      <c r="L7">
        <v>55.519641993226898</v>
      </c>
      <c r="M7">
        <v>44.480358006773102</v>
      </c>
      <c r="N7" s="1">
        <v>1</v>
      </c>
      <c r="P7" t="s">
        <v>156</v>
      </c>
      <c r="Q7" s="102">
        <f>AVERAGE(L7,G7,B7)</f>
        <v>55.766666666666659</v>
      </c>
      <c r="R7" s="102">
        <f>AVERAGE(M7,H7,C7)</f>
        <v>44.233333333333327</v>
      </c>
      <c r="S7" s="1">
        <v>1</v>
      </c>
    </row>
    <row r="9" spans="1:19" x14ac:dyDescent="0.2">
      <c r="B9" s="144" t="s">
        <v>357</v>
      </c>
      <c r="C9" s="144"/>
      <c r="G9" s="144" t="s">
        <v>357</v>
      </c>
      <c r="H9" s="144"/>
      <c r="L9" s="144" t="s">
        <v>357</v>
      </c>
      <c r="M9" s="144"/>
      <c r="Q9" s="140" t="s">
        <v>360</v>
      </c>
      <c r="R9" s="140"/>
    </row>
    <row r="10" spans="1:19" x14ac:dyDescent="0.2">
      <c r="B10" t="s">
        <v>176</v>
      </c>
      <c r="C10" t="s">
        <v>207</v>
      </c>
      <c r="D10" t="s">
        <v>55</v>
      </c>
      <c r="G10" t="s">
        <v>176</v>
      </c>
      <c r="H10" t="s">
        <v>207</v>
      </c>
      <c r="I10" t="s">
        <v>55</v>
      </c>
      <c r="L10" t="s">
        <v>176</v>
      </c>
      <c r="M10" t="s">
        <v>207</v>
      </c>
      <c r="N10" t="s">
        <v>55</v>
      </c>
      <c r="Q10" t="s">
        <v>176</v>
      </c>
      <c r="R10" t="s">
        <v>207</v>
      </c>
      <c r="S10" t="s">
        <v>55</v>
      </c>
    </row>
    <row r="11" spans="1:19" x14ac:dyDescent="0.2">
      <c r="A11" t="s">
        <v>156</v>
      </c>
      <c r="B11">
        <v>65.060240963855421</v>
      </c>
      <c r="C11">
        <v>34.939759036144579</v>
      </c>
      <c r="D11" s="1">
        <v>1</v>
      </c>
      <c r="F11" t="s">
        <v>156</v>
      </c>
      <c r="G11">
        <v>64.835164835164832</v>
      </c>
      <c r="H11">
        <v>35.164835164835168</v>
      </c>
      <c r="I11" s="1">
        <v>1</v>
      </c>
      <c r="K11" t="s">
        <v>156</v>
      </c>
      <c r="L11">
        <v>64.754594200979795</v>
      </c>
      <c r="M11">
        <v>35.245405799020205</v>
      </c>
      <c r="N11" s="1">
        <v>1</v>
      </c>
      <c r="P11" t="s">
        <v>156</v>
      </c>
      <c r="Q11" s="102">
        <f>AVERAGE(L11,G11,B11)</f>
        <v>64.883333333333354</v>
      </c>
      <c r="R11" s="102">
        <f>AVERAGE(M11,H11,C11)</f>
        <v>35.116666666666653</v>
      </c>
      <c r="S11" s="1">
        <v>1</v>
      </c>
    </row>
    <row r="14" spans="1:19" x14ac:dyDescent="0.2">
      <c r="B14" t="s">
        <v>95</v>
      </c>
      <c r="D14" s="14" t="s">
        <v>422</v>
      </c>
      <c r="J14" t="s">
        <v>95</v>
      </c>
      <c r="L14" s="14" t="s">
        <v>423</v>
      </c>
      <c r="R14" s="114" t="s">
        <v>60</v>
      </c>
      <c r="S14" s="114"/>
    </row>
    <row r="15" spans="1:19" x14ac:dyDescent="0.2">
      <c r="R15" s="11" t="s">
        <v>54</v>
      </c>
      <c r="S15" s="12"/>
    </row>
    <row r="16" spans="1:19" ht="16" thickBot="1" x14ac:dyDescent="0.25">
      <c r="B16" t="s">
        <v>96</v>
      </c>
      <c r="J16" t="s">
        <v>96</v>
      </c>
    </row>
    <row r="17" spans="2:16" x14ac:dyDescent="0.2">
      <c r="B17" s="3" t="s">
        <v>97</v>
      </c>
      <c r="C17" s="3" t="s">
        <v>98</v>
      </c>
      <c r="D17" s="3" t="s">
        <v>99</v>
      </c>
      <c r="E17" s="3" t="s">
        <v>100</v>
      </c>
      <c r="F17" s="3" t="s">
        <v>39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39</v>
      </c>
    </row>
    <row r="18" spans="2:16" x14ac:dyDescent="0.2">
      <c r="B18" t="s">
        <v>101</v>
      </c>
      <c r="C18">
        <v>3</v>
      </c>
      <c r="D18">
        <v>130.51999999999995</v>
      </c>
      <c r="E18">
        <v>43.506666666666653</v>
      </c>
      <c r="F18">
        <v>3.3866598074753851</v>
      </c>
      <c r="J18" t="s">
        <v>101</v>
      </c>
      <c r="K18">
        <v>3</v>
      </c>
      <c r="L18">
        <v>167.3</v>
      </c>
      <c r="M18">
        <v>55.766666666666673</v>
      </c>
      <c r="N18">
        <v>3.2934337033986454</v>
      </c>
    </row>
    <row r="19" spans="2:16" ht="16" thickBot="1" x14ac:dyDescent="0.25">
      <c r="B19" s="4" t="s">
        <v>102</v>
      </c>
      <c r="C19" s="4">
        <v>3</v>
      </c>
      <c r="D19" s="4">
        <v>167.3</v>
      </c>
      <c r="E19" s="4">
        <v>55.766666666666673</v>
      </c>
      <c r="F19" s="4">
        <v>3.2934337033986454</v>
      </c>
      <c r="J19" s="4" t="s">
        <v>102</v>
      </c>
      <c r="K19" s="4">
        <v>3</v>
      </c>
      <c r="L19" s="4">
        <v>194.65000000000003</v>
      </c>
      <c r="M19" s="4">
        <v>64.88333333333334</v>
      </c>
      <c r="N19" s="4">
        <v>2.5095139075945003E-2</v>
      </c>
    </row>
    <row r="22" spans="2:16" ht="16" thickBot="1" x14ac:dyDescent="0.25">
      <c r="B22" t="s">
        <v>103</v>
      </c>
      <c r="J22" t="s">
        <v>103</v>
      </c>
    </row>
    <row r="23" spans="2:16" x14ac:dyDescent="0.2">
      <c r="B23" s="3" t="s">
        <v>104</v>
      </c>
      <c r="C23" s="3" t="s">
        <v>105</v>
      </c>
      <c r="D23" s="3" t="s">
        <v>106</v>
      </c>
      <c r="E23" s="3" t="s">
        <v>107</v>
      </c>
      <c r="F23" s="3" t="s">
        <v>49</v>
      </c>
      <c r="G23" s="3" t="s">
        <v>108</v>
      </c>
      <c r="H23" s="3" t="s">
        <v>109</v>
      </c>
      <c r="J23" s="3" t="s">
        <v>104</v>
      </c>
      <c r="K23" s="3" t="s">
        <v>105</v>
      </c>
      <c r="L23" s="3" t="s">
        <v>106</v>
      </c>
      <c r="M23" s="3" t="s">
        <v>107</v>
      </c>
      <c r="N23" s="3" t="s">
        <v>49</v>
      </c>
      <c r="O23" s="3" t="s">
        <v>108</v>
      </c>
      <c r="P23" s="3" t="s">
        <v>109</v>
      </c>
    </row>
    <row r="24" spans="2:16" x14ac:dyDescent="0.2">
      <c r="B24" t="s">
        <v>110</v>
      </c>
      <c r="C24">
        <v>225.46140000000042</v>
      </c>
      <c r="D24">
        <v>1</v>
      </c>
      <c r="E24">
        <v>225.46140000000042</v>
      </c>
      <c r="F24">
        <v>67.502468231316968</v>
      </c>
      <c r="G24">
        <v>1.1961699172065446E-3</v>
      </c>
      <c r="H24">
        <v>7.708647422176786</v>
      </c>
      <c r="J24" t="s">
        <v>110</v>
      </c>
      <c r="K24">
        <v>124.67041666666719</v>
      </c>
      <c r="L24">
        <v>1</v>
      </c>
      <c r="M24">
        <v>124.67041666666719</v>
      </c>
      <c r="N24">
        <v>75.135954867098178</v>
      </c>
      <c r="O24">
        <v>9.747013654223995E-4</v>
      </c>
      <c r="P24">
        <v>7.708647422176786</v>
      </c>
    </row>
    <row r="25" spans="2:16" x14ac:dyDescent="0.2">
      <c r="B25" t="s">
        <v>111</v>
      </c>
      <c r="C25">
        <v>13.360187021748061</v>
      </c>
      <c r="D25">
        <v>4</v>
      </c>
      <c r="E25">
        <v>3.3400467554370152</v>
      </c>
      <c r="J25" t="s">
        <v>111</v>
      </c>
      <c r="K25">
        <v>6.6370576849491805</v>
      </c>
      <c r="L25">
        <v>4</v>
      </c>
      <c r="M25">
        <v>1.6592644212372951</v>
      </c>
    </row>
    <row r="27" spans="2:16" ht="16" thickBot="1" x14ac:dyDescent="0.25">
      <c r="B27" s="4" t="s">
        <v>55</v>
      </c>
      <c r="C27" s="4">
        <v>238.82158702174848</v>
      </c>
      <c r="D27" s="4">
        <v>5</v>
      </c>
      <c r="E27" s="4"/>
      <c r="F27" s="4"/>
      <c r="G27" s="4"/>
      <c r="H27" s="4"/>
      <c r="J27" s="4" t="s">
        <v>55</v>
      </c>
      <c r="K27" s="4">
        <v>131.30747435161638</v>
      </c>
      <c r="L27" s="4">
        <v>5</v>
      </c>
      <c r="M27" s="4"/>
      <c r="N27" s="4"/>
      <c r="O27" s="4"/>
      <c r="P27" s="4"/>
    </row>
  </sheetData>
  <mergeCells count="13">
    <mergeCell ref="R14:S14"/>
    <mergeCell ref="B9:C9"/>
    <mergeCell ref="G9:H9"/>
    <mergeCell ref="L9:M9"/>
    <mergeCell ref="Q9:R9"/>
    <mergeCell ref="B1:C1"/>
    <mergeCell ref="G1:H1"/>
    <mergeCell ref="L1:M1"/>
    <mergeCell ref="Q1:R1"/>
    <mergeCell ref="B5:C5"/>
    <mergeCell ref="G5:H5"/>
    <mergeCell ref="L5:M5"/>
    <mergeCell ref="Q5:R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EF557-1F35-BA4B-A154-C0D28BD3D1AA}">
  <sheetPr>
    <tabColor rgb="FF00B050"/>
  </sheetPr>
  <dimension ref="A1:AC91"/>
  <sheetViews>
    <sheetView topLeftCell="G26" workbookViewId="0">
      <selection activeCell="X47" sqref="X47:Y48"/>
    </sheetView>
  </sheetViews>
  <sheetFormatPr baseColWidth="10" defaultRowHeight="15" x14ac:dyDescent="0.2"/>
  <cols>
    <col min="5" max="5" width="7.83203125" customWidth="1"/>
    <col min="6" max="6" width="7.5" customWidth="1"/>
    <col min="11" max="11" width="8.5" customWidth="1"/>
    <col min="12" max="12" width="6.6640625" customWidth="1"/>
    <col min="17" max="17" width="7.83203125" customWidth="1"/>
    <col min="18" max="18" width="9.33203125" customWidth="1"/>
    <col min="21" max="21" width="6.1640625" customWidth="1"/>
    <col min="22" max="22" width="10.33203125" customWidth="1"/>
    <col min="24" max="24" width="8.6640625" customWidth="1"/>
    <col min="25" max="25" width="14.6640625" customWidth="1"/>
  </cols>
  <sheetData>
    <row r="1" spans="1:29" x14ac:dyDescent="0.2">
      <c r="A1" s="135" t="s">
        <v>291</v>
      </c>
      <c r="B1" s="135"/>
      <c r="C1" s="135"/>
      <c r="D1" s="135"/>
      <c r="E1" s="135"/>
      <c r="F1" s="91"/>
      <c r="G1" s="135" t="s">
        <v>292</v>
      </c>
      <c r="H1" s="135"/>
      <c r="I1" s="135"/>
      <c r="J1" s="135"/>
      <c r="K1" s="135"/>
      <c r="L1" s="91"/>
      <c r="M1" s="135" t="s">
        <v>293</v>
      </c>
      <c r="N1" s="135"/>
      <c r="O1" s="135"/>
      <c r="P1" s="135"/>
      <c r="Q1" s="135"/>
      <c r="R1" s="91"/>
      <c r="S1" s="131" t="s">
        <v>294</v>
      </c>
      <c r="T1" s="132"/>
      <c r="U1" s="92"/>
      <c r="V1" s="93"/>
      <c r="W1" s="94"/>
      <c r="X1" s="95"/>
      <c r="Y1" s="91"/>
    </row>
    <row r="2" spans="1:29" x14ac:dyDescent="0.2">
      <c r="A2" s="12" t="s">
        <v>29</v>
      </c>
      <c r="B2" t="s">
        <v>161</v>
      </c>
      <c r="C2" t="s">
        <v>241</v>
      </c>
      <c r="D2" t="s">
        <v>242</v>
      </c>
      <c r="E2" t="s">
        <v>55</v>
      </c>
      <c r="G2" s="12" t="s">
        <v>29</v>
      </c>
      <c r="H2" s="17" t="s">
        <v>161</v>
      </c>
      <c r="I2" s="17" t="s">
        <v>241</v>
      </c>
      <c r="J2" s="17" t="s">
        <v>242</v>
      </c>
      <c r="K2" t="s">
        <v>55</v>
      </c>
      <c r="M2" s="12" t="s">
        <v>29</v>
      </c>
      <c r="N2" s="17" t="s">
        <v>161</v>
      </c>
      <c r="O2" s="17" t="s">
        <v>241</v>
      </c>
      <c r="P2" s="17" t="s">
        <v>242</v>
      </c>
      <c r="Q2" t="s">
        <v>55</v>
      </c>
      <c r="S2" s="85" t="s">
        <v>29</v>
      </c>
      <c r="T2" s="17" t="s">
        <v>161</v>
      </c>
      <c r="U2" s="17"/>
      <c r="V2" s="14" t="s">
        <v>295</v>
      </c>
      <c r="W2" s="96" t="s">
        <v>161</v>
      </c>
      <c r="AB2" s="17"/>
      <c r="AC2" s="17"/>
    </row>
    <row r="3" spans="1:29" x14ac:dyDescent="0.2">
      <c r="B3">
        <v>127</v>
      </c>
      <c r="C3">
        <v>63</v>
      </c>
      <c r="D3">
        <v>27</v>
      </c>
      <c r="E3">
        <f>(B3+C3+D3)</f>
        <v>217</v>
      </c>
      <c r="H3">
        <v>101</v>
      </c>
      <c r="I3">
        <v>98</v>
      </c>
      <c r="J3">
        <v>44</v>
      </c>
      <c r="K3">
        <f>(H3+I3+J3)</f>
        <v>243</v>
      </c>
      <c r="N3">
        <v>79</v>
      </c>
      <c r="O3">
        <v>61</v>
      </c>
      <c r="P3">
        <v>34</v>
      </c>
      <c r="Q3">
        <f>(N3+O3+P3)</f>
        <v>174</v>
      </c>
      <c r="S3" s="7"/>
      <c r="T3">
        <f>AVERAGE(B3,H3,N3)</f>
        <v>102.33333333333333</v>
      </c>
      <c r="V3" s="14" t="s">
        <v>63</v>
      </c>
      <c r="W3" s="8">
        <f>STDEVA(N4,H4,B4)</f>
        <v>8.8942213631896934</v>
      </c>
    </row>
    <row r="4" spans="1:29" x14ac:dyDescent="0.2">
      <c r="A4" t="s">
        <v>156</v>
      </c>
      <c r="B4">
        <f>(B3/E3)*100</f>
        <v>58.525345622119815</v>
      </c>
      <c r="C4">
        <f>(C3/E3)*100</f>
        <v>29.032258064516132</v>
      </c>
      <c r="D4">
        <f>(D3/E3)*100</f>
        <v>12.442396313364055</v>
      </c>
      <c r="G4" t="s">
        <v>156</v>
      </c>
      <c r="H4">
        <f>(H3/K3)*100</f>
        <v>41.563786008230451</v>
      </c>
      <c r="I4">
        <f>(I3/K3)*100</f>
        <v>40.329218106995881</v>
      </c>
      <c r="J4">
        <f>(J3/K3)*100</f>
        <v>18.106995884773664</v>
      </c>
      <c r="M4" t="s">
        <v>156</v>
      </c>
      <c r="N4">
        <f>(N3/Q3)*100</f>
        <v>45.402298850574709</v>
      </c>
      <c r="O4">
        <f>(O3/Q3)*100</f>
        <v>35.05747126436782</v>
      </c>
      <c r="P4">
        <f>(P3/Q3)*100</f>
        <v>19.540229885057471</v>
      </c>
      <c r="S4" s="7" t="s">
        <v>156</v>
      </c>
      <c r="T4">
        <f>AVERAGE(B4,H4,N4)</f>
        <v>48.497143493641659</v>
      </c>
      <c r="V4" s="14" t="s">
        <v>59</v>
      </c>
      <c r="W4" s="8">
        <f>(W3/(SQRT(3)))</f>
        <v>5.1350810982696897</v>
      </c>
    </row>
    <row r="5" spans="1:29" x14ac:dyDescent="0.2">
      <c r="A5" s="88" t="s">
        <v>28</v>
      </c>
      <c r="B5" t="s">
        <v>161</v>
      </c>
      <c r="C5" t="s">
        <v>241</v>
      </c>
      <c r="D5" t="s">
        <v>242</v>
      </c>
      <c r="E5" t="s">
        <v>55</v>
      </c>
      <c r="G5" s="88" t="s">
        <v>28</v>
      </c>
      <c r="H5" s="17" t="s">
        <v>161</v>
      </c>
      <c r="I5" s="17" t="s">
        <v>241</v>
      </c>
      <c r="J5" s="17" t="s">
        <v>242</v>
      </c>
      <c r="K5" t="s">
        <v>55</v>
      </c>
      <c r="M5" s="88" t="s">
        <v>28</v>
      </c>
      <c r="N5" s="17" t="s">
        <v>161</v>
      </c>
      <c r="O5" s="17" t="s">
        <v>241</v>
      </c>
      <c r="P5" s="17" t="s">
        <v>242</v>
      </c>
      <c r="Q5" t="s">
        <v>55</v>
      </c>
      <c r="S5" s="86" t="s">
        <v>28</v>
      </c>
      <c r="T5" s="17" t="s">
        <v>161</v>
      </c>
      <c r="U5" s="17"/>
      <c r="V5" s="14"/>
      <c r="W5" s="8"/>
    </row>
    <row r="6" spans="1:29" x14ac:dyDescent="0.2">
      <c r="B6">
        <v>116</v>
      </c>
      <c r="C6">
        <v>23</v>
      </c>
      <c r="D6">
        <v>8</v>
      </c>
      <c r="E6">
        <f>(D6+C6+B6)</f>
        <v>147</v>
      </c>
      <c r="H6">
        <v>93</v>
      </c>
      <c r="I6">
        <v>19</v>
      </c>
      <c r="J6">
        <v>14</v>
      </c>
      <c r="K6">
        <f>(J6+I6+H6)</f>
        <v>126</v>
      </c>
      <c r="N6">
        <v>142</v>
      </c>
      <c r="O6">
        <v>41</v>
      </c>
      <c r="P6">
        <v>2</v>
      </c>
      <c r="Q6">
        <f>(P6+O6+N6)</f>
        <v>185</v>
      </c>
      <c r="S6" s="7"/>
      <c r="T6">
        <f>AVERAGE(B6,H6,N6)</f>
        <v>117</v>
      </c>
      <c r="V6" s="14" t="s">
        <v>63</v>
      </c>
      <c r="W6" s="8">
        <f>STDEVA(B7,H7,N7)</f>
        <v>2.5612561855928169</v>
      </c>
    </row>
    <row r="7" spans="1:29" x14ac:dyDescent="0.2">
      <c r="A7" t="s">
        <v>156</v>
      </c>
      <c r="B7">
        <f>(B6/E6)*100</f>
        <v>78.911564625850332</v>
      </c>
      <c r="C7">
        <f>(C6/E6)*100</f>
        <v>15.646258503401361</v>
      </c>
      <c r="D7">
        <f>(D6/E6)*100</f>
        <v>5.4421768707482991</v>
      </c>
      <c r="G7" t="s">
        <v>156</v>
      </c>
      <c r="H7">
        <f>(H6/K6)*100</f>
        <v>73.80952380952381</v>
      </c>
      <c r="I7">
        <f>(I6/K6)*100</f>
        <v>15.079365079365079</v>
      </c>
      <c r="J7">
        <f>(J6/K6)*100</f>
        <v>11.111111111111111</v>
      </c>
      <c r="M7" t="s">
        <v>156</v>
      </c>
      <c r="N7">
        <f>(N6/Q6)*100</f>
        <v>76.756756756756758</v>
      </c>
      <c r="O7">
        <f>(O6/Q6)*100</f>
        <v>22.162162162162165</v>
      </c>
      <c r="P7">
        <f>(P6/Q6)*100</f>
        <v>1.0810810810810811</v>
      </c>
      <c r="S7" s="7" t="s">
        <v>156</v>
      </c>
      <c r="T7">
        <f>AVERAGE(B7,H7,N7)</f>
        <v>76.492615064043648</v>
      </c>
      <c r="V7" s="14" t="s">
        <v>59</v>
      </c>
      <c r="W7" s="8">
        <f>(W6/(SQRT(3)))</f>
        <v>1.478741948215607</v>
      </c>
    </row>
    <row r="8" spans="1:29" x14ac:dyDescent="0.2">
      <c r="A8" s="89" t="s">
        <v>30</v>
      </c>
      <c r="B8" t="s">
        <v>161</v>
      </c>
      <c r="C8" t="s">
        <v>241</v>
      </c>
      <c r="D8" t="s">
        <v>242</v>
      </c>
      <c r="E8" t="s">
        <v>55</v>
      </c>
      <c r="G8" s="89" t="s">
        <v>30</v>
      </c>
      <c r="H8" s="17" t="s">
        <v>161</v>
      </c>
      <c r="I8" s="17" t="s">
        <v>241</v>
      </c>
      <c r="J8" s="17" t="s">
        <v>242</v>
      </c>
      <c r="K8" t="s">
        <v>55</v>
      </c>
      <c r="M8" s="89" t="s">
        <v>30</v>
      </c>
      <c r="N8" s="17" t="s">
        <v>161</v>
      </c>
      <c r="O8" s="17" t="s">
        <v>241</v>
      </c>
      <c r="P8" s="17" t="s">
        <v>242</v>
      </c>
      <c r="Q8" t="s">
        <v>55</v>
      </c>
      <c r="S8" s="87" t="s">
        <v>30</v>
      </c>
      <c r="T8" s="17" t="s">
        <v>161</v>
      </c>
      <c r="U8" s="17"/>
      <c r="V8" s="14"/>
      <c r="W8" s="8"/>
    </row>
    <row r="9" spans="1:29" x14ac:dyDescent="0.2">
      <c r="B9">
        <v>80</v>
      </c>
      <c r="C9">
        <v>71</v>
      </c>
      <c r="D9">
        <v>10</v>
      </c>
      <c r="E9">
        <f>(D9+C9+B9)</f>
        <v>161</v>
      </c>
      <c r="H9">
        <v>83</v>
      </c>
      <c r="I9">
        <v>57</v>
      </c>
      <c r="J9">
        <v>6</v>
      </c>
      <c r="K9">
        <f>(J9+I9+H9)</f>
        <v>146</v>
      </c>
      <c r="N9">
        <v>102</v>
      </c>
      <c r="O9">
        <v>99</v>
      </c>
      <c r="P9">
        <v>17</v>
      </c>
      <c r="Q9">
        <f>(P9+O9+N9)</f>
        <v>218</v>
      </c>
      <c r="S9" s="7"/>
      <c r="T9">
        <f>AVERAGE(B9,H9,N9)</f>
        <v>88.333333333333329</v>
      </c>
      <c r="V9" s="14" t="s">
        <v>63</v>
      </c>
      <c r="W9" s="8">
        <f>STDEVA(B10,H10,N10)</f>
        <v>5.1782643780458351</v>
      </c>
    </row>
    <row r="10" spans="1:29" x14ac:dyDescent="0.2">
      <c r="A10" t="s">
        <v>156</v>
      </c>
      <c r="B10">
        <f>(B9/E9)*100</f>
        <v>49.689440993788821</v>
      </c>
      <c r="C10">
        <f>(C9/E9)*100</f>
        <v>44.099378881987576</v>
      </c>
      <c r="D10">
        <f>(D9/E9)*100</f>
        <v>6.2111801242236027</v>
      </c>
      <c r="G10" t="s">
        <v>156</v>
      </c>
      <c r="H10">
        <f>(H9/K9)*100</f>
        <v>56.849315068493155</v>
      </c>
      <c r="I10">
        <f>(I9/K9)*100</f>
        <v>39.041095890410958</v>
      </c>
      <c r="J10">
        <f>(J9/K9)*100</f>
        <v>4.10958904109589</v>
      </c>
      <c r="M10" t="s">
        <v>156</v>
      </c>
      <c r="N10">
        <f>(N9/Q9)*100</f>
        <v>46.788990825688074</v>
      </c>
      <c r="O10">
        <f>(O9/Q9)*100</f>
        <v>45.412844036697244</v>
      </c>
      <c r="P10">
        <f>(P9/Q9)*100</f>
        <v>7.7981651376146797</v>
      </c>
      <c r="S10" s="7" t="s">
        <v>156</v>
      </c>
      <c r="T10">
        <f>AVERAGE(B10,H10,N10)</f>
        <v>51.109248962656686</v>
      </c>
      <c r="V10" s="14" t="s">
        <v>59</v>
      </c>
      <c r="W10" s="8">
        <f>(W9/(SQRT(3)))</f>
        <v>2.9896723325998131</v>
      </c>
    </row>
    <row r="11" spans="1:29" x14ac:dyDescent="0.2">
      <c r="S11" s="7"/>
      <c r="V11" s="14"/>
      <c r="W11" s="8"/>
    </row>
    <row r="12" spans="1:29" x14ac:dyDescent="0.2">
      <c r="A12" s="135" t="s">
        <v>299</v>
      </c>
      <c r="B12" s="135"/>
      <c r="C12" s="135"/>
      <c r="D12" s="135"/>
      <c r="E12" s="135"/>
      <c r="F12" s="91"/>
      <c r="G12" s="135" t="s">
        <v>300</v>
      </c>
      <c r="H12" s="135"/>
      <c r="I12" s="135"/>
      <c r="J12" s="135"/>
      <c r="K12" s="135"/>
      <c r="L12" s="91"/>
      <c r="M12" s="135" t="s">
        <v>301</v>
      </c>
      <c r="N12" s="135"/>
      <c r="O12" s="135"/>
      <c r="P12" s="135"/>
      <c r="Q12" s="135"/>
      <c r="R12" s="91"/>
      <c r="S12" s="133" t="s">
        <v>331</v>
      </c>
      <c r="T12" s="134"/>
      <c r="U12" s="91"/>
      <c r="V12" s="14"/>
      <c r="W12" s="8"/>
      <c r="X12" s="95"/>
      <c r="Y12" s="91"/>
    </row>
    <row r="13" spans="1:29" x14ac:dyDescent="0.2">
      <c r="A13" s="12" t="s">
        <v>29</v>
      </c>
      <c r="B13" t="s">
        <v>161</v>
      </c>
      <c r="C13" t="s">
        <v>241</v>
      </c>
      <c r="D13" t="s">
        <v>242</v>
      </c>
      <c r="E13" t="s">
        <v>55</v>
      </c>
      <c r="G13" s="12" t="s">
        <v>29</v>
      </c>
      <c r="H13" s="17" t="s">
        <v>161</v>
      </c>
      <c r="I13" s="17" t="s">
        <v>241</v>
      </c>
      <c r="J13" s="17" t="s">
        <v>242</v>
      </c>
      <c r="K13" t="s">
        <v>55</v>
      </c>
      <c r="M13" s="12" t="s">
        <v>29</v>
      </c>
      <c r="N13" s="17" t="s">
        <v>161</v>
      </c>
      <c r="O13" s="17" t="s">
        <v>241</v>
      </c>
      <c r="P13" s="17" t="s">
        <v>242</v>
      </c>
      <c r="Q13" t="s">
        <v>55</v>
      </c>
      <c r="S13" s="85" t="s">
        <v>29</v>
      </c>
      <c r="T13" s="17" t="s">
        <v>161</v>
      </c>
      <c r="U13" s="17"/>
      <c r="V13" s="14" t="s">
        <v>296</v>
      </c>
      <c r="W13" s="96" t="s">
        <v>161</v>
      </c>
    </row>
    <row r="14" spans="1:29" x14ac:dyDescent="0.2">
      <c r="B14">
        <v>67</v>
      </c>
      <c r="C14">
        <v>14</v>
      </c>
      <c r="D14">
        <v>4</v>
      </c>
      <c r="E14">
        <f>(B14+C14+D14)</f>
        <v>85</v>
      </c>
      <c r="H14">
        <v>66</v>
      </c>
      <c r="I14">
        <v>24</v>
      </c>
      <c r="J14">
        <v>2</v>
      </c>
      <c r="K14">
        <f>(H14+I14+J14)</f>
        <v>92</v>
      </c>
      <c r="N14">
        <v>127</v>
      </c>
      <c r="O14">
        <v>43</v>
      </c>
      <c r="P14">
        <v>16</v>
      </c>
      <c r="Q14">
        <f>(N14+O14+P14)</f>
        <v>186</v>
      </c>
      <c r="S14" s="7"/>
      <c r="T14">
        <f>AVERAGE(B14,H14,N14)</f>
        <v>86.666666666666671</v>
      </c>
      <c r="V14" s="14" t="s">
        <v>63</v>
      </c>
      <c r="W14" s="8">
        <f>STDEVA(N15,H15,B15)</f>
        <v>5.3748232584186661</v>
      </c>
    </row>
    <row r="15" spans="1:29" x14ac:dyDescent="0.2">
      <c r="A15" t="s">
        <v>156</v>
      </c>
      <c r="B15">
        <f>(B14/E14)*100</f>
        <v>78.82352941176471</v>
      </c>
      <c r="C15">
        <f>(C14/E14)*100</f>
        <v>16.470588235294116</v>
      </c>
      <c r="D15">
        <f>(D14/E14)*100</f>
        <v>4.7058823529411766</v>
      </c>
      <c r="G15" t="s">
        <v>156</v>
      </c>
      <c r="H15">
        <f>(H14/K14)*100</f>
        <v>71.739130434782609</v>
      </c>
      <c r="I15">
        <f>(I14/K14)*100</f>
        <v>26.086956521739129</v>
      </c>
      <c r="J15">
        <f>(J14/K14)*100</f>
        <v>2.1739130434782608</v>
      </c>
      <c r="M15" t="s">
        <v>156</v>
      </c>
      <c r="N15">
        <f>(N14/Q14)*100</f>
        <v>68.27956989247312</v>
      </c>
      <c r="O15">
        <f>(O14/Q14)*100</f>
        <v>23.118279569892472</v>
      </c>
      <c r="P15">
        <f>(P14/Q14)*100</f>
        <v>8.6021505376344098</v>
      </c>
      <c r="S15" s="7" t="s">
        <v>156</v>
      </c>
      <c r="T15">
        <f>AVERAGE(B15,H15,N15)</f>
        <v>72.947409913006808</v>
      </c>
      <c r="V15" s="14" t="s">
        <v>59</v>
      </c>
      <c r="W15" s="8">
        <f>(W14/(SQRT(3)))</f>
        <v>3.1031556550946786</v>
      </c>
    </row>
    <row r="16" spans="1:29" x14ac:dyDescent="0.2">
      <c r="A16" s="88" t="s">
        <v>28</v>
      </c>
      <c r="B16" t="s">
        <v>161</v>
      </c>
      <c r="C16" t="s">
        <v>241</v>
      </c>
      <c r="D16" t="s">
        <v>242</v>
      </c>
      <c r="E16" t="s">
        <v>55</v>
      </c>
      <c r="G16" s="88" t="s">
        <v>28</v>
      </c>
      <c r="H16" s="17" t="s">
        <v>161</v>
      </c>
      <c r="I16" s="17" t="s">
        <v>241</v>
      </c>
      <c r="J16" s="17" t="s">
        <v>242</v>
      </c>
      <c r="K16" t="s">
        <v>55</v>
      </c>
      <c r="M16" s="88" t="s">
        <v>28</v>
      </c>
      <c r="N16" s="17" t="s">
        <v>161</v>
      </c>
      <c r="O16" s="17" t="s">
        <v>241</v>
      </c>
      <c r="P16" s="17" t="s">
        <v>242</v>
      </c>
      <c r="Q16" t="s">
        <v>55</v>
      </c>
      <c r="S16" s="86" t="s">
        <v>28</v>
      </c>
      <c r="T16" s="17" t="s">
        <v>161</v>
      </c>
      <c r="U16" s="17"/>
      <c r="V16" s="14"/>
      <c r="W16" s="8"/>
    </row>
    <row r="17" spans="1:25" x14ac:dyDescent="0.2">
      <c r="B17">
        <v>70</v>
      </c>
      <c r="C17">
        <v>50</v>
      </c>
      <c r="D17">
        <v>2</v>
      </c>
      <c r="E17">
        <f>(D17+C17+B17)</f>
        <v>122</v>
      </c>
      <c r="H17">
        <v>76</v>
      </c>
      <c r="I17">
        <v>19</v>
      </c>
      <c r="J17">
        <v>0</v>
      </c>
      <c r="K17">
        <f>(J17+I17+H17)</f>
        <v>95</v>
      </c>
      <c r="N17">
        <v>146</v>
      </c>
      <c r="O17">
        <v>25</v>
      </c>
      <c r="P17">
        <v>4</v>
      </c>
      <c r="Q17">
        <f>(P17+O17+N17)</f>
        <v>175</v>
      </c>
      <c r="S17" s="7"/>
      <c r="T17">
        <f>AVERAGE(B17,H17,N17)</f>
        <v>97.333333333333329</v>
      </c>
      <c r="V17" s="14" t="s">
        <v>63</v>
      </c>
      <c r="W17" s="8">
        <f>STDEVA(B18,H18,N18)</f>
        <v>14.155298285335038</v>
      </c>
    </row>
    <row r="18" spans="1:25" x14ac:dyDescent="0.2">
      <c r="A18" t="s">
        <v>156</v>
      </c>
      <c r="B18">
        <f>(B17/E17)*100</f>
        <v>57.377049180327866</v>
      </c>
      <c r="C18">
        <f>(C17/E17)*100</f>
        <v>40.983606557377051</v>
      </c>
      <c r="D18">
        <f>(D17/E17)*100</f>
        <v>1.639344262295082</v>
      </c>
      <c r="G18" t="s">
        <v>156</v>
      </c>
      <c r="H18">
        <f>(H17/K17)*100</f>
        <v>80</v>
      </c>
      <c r="I18">
        <f>(I17/K17)*100</f>
        <v>20</v>
      </c>
      <c r="J18">
        <f>(J17/K17)*100</f>
        <v>0</v>
      </c>
      <c r="M18" t="s">
        <v>156</v>
      </c>
      <c r="N18">
        <f>(N17/Q17)*100</f>
        <v>83.428571428571431</v>
      </c>
      <c r="O18">
        <f>(O17/Q17)*100</f>
        <v>14.285714285714285</v>
      </c>
      <c r="P18">
        <f>(P17/Q17)*100</f>
        <v>2.2857142857142856</v>
      </c>
      <c r="S18" s="7" t="s">
        <v>156</v>
      </c>
      <c r="T18">
        <f>AVERAGE(B18,H18,N18)</f>
        <v>73.601873536299763</v>
      </c>
      <c r="V18" s="14" t="s">
        <v>59</v>
      </c>
      <c r="W18" s="8">
        <f>(W17/(SQRT(3)))</f>
        <v>8.1725652754976323</v>
      </c>
    </row>
    <row r="19" spans="1:25" x14ac:dyDescent="0.2">
      <c r="A19" s="89" t="s">
        <v>30</v>
      </c>
      <c r="B19" t="s">
        <v>161</v>
      </c>
      <c r="C19" t="s">
        <v>241</v>
      </c>
      <c r="D19" t="s">
        <v>242</v>
      </c>
      <c r="E19" t="s">
        <v>55</v>
      </c>
      <c r="G19" s="89" t="s">
        <v>30</v>
      </c>
      <c r="H19" s="17" t="s">
        <v>161</v>
      </c>
      <c r="I19" s="17" t="s">
        <v>241</v>
      </c>
      <c r="J19" s="17" t="s">
        <v>242</v>
      </c>
      <c r="K19" t="s">
        <v>55</v>
      </c>
      <c r="M19" s="89" t="s">
        <v>30</v>
      </c>
      <c r="N19" s="17" t="s">
        <v>161</v>
      </c>
      <c r="O19" s="17" t="s">
        <v>241</v>
      </c>
      <c r="P19" s="17" t="s">
        <v>242</v>
      </c>
      <c r="Q19" t="s">
        <v>55</v>
      </c>
      <c r="S19" s="87" t="s">
        <v>30</v>
      </c>
      <c r="T19" s="17" t="s">
        <v>161</v>
      </c>
      <c r="U19" s="17"/>
      <c r="V19" s="14"/>
      <c r="W19" s="8"/>
    </row>
    <row r="20" spans="1:25" x14ac:dyDescent="0.2">
      <c r="B20">
        <v>41</v>
      </c>
      <c r="C20">
        <v>46</v>
      </c>
      <c r="D20">
        <v>1</v>
      </c>
      <c r="E20">
        <f>(D20+C20+B20)</f>
        <v>88</v>
      </c>
      <c r="H20">
        <v>43</v>
      </c>
      <c r="I20">
        <v>58</v>
      </c>
      <c r="J20">
        <v>5</v>
      </c>
      <c r="K20">
        <f>(J20+I20+H20)</f>
        <v>106</v>
      </c>
      <c r="N20">
        <v>64</v>
      </c>
      <c r="O20">
        <v>65</v>
      </c>
      <c r="P20">
        <v>20</v>
      </c>
      <c r="Q20">
        <f>(P20+O20+N20)</f>
        <v>149</v>
      </c>
      <c r="S20" s="7"/>
      <c r="T20">
        <f>AVERAGE(B20,H20,N20)</f>
        <v>49.333333333333336</v>
      </c>
      <c r="V20" s="14" t="s">
        <v>63</v>
      </c>
      <c r="W20" s="8">
        <f>STDEVA(B21,H21,N21)</f>
        <v>3.0340016445923768</v>
      </c>
    </row>
    <row r="21" spans="1:25" x14ac:dyDescent="0.2">
      <c r="A21" t="s">
        <v>156</v>
      </c>
      <c r="B21">
        <f>(B20/E20)*100</f>
        <v>46.590909090909086</v>
      </c>
      <c r="C21">
        <f>(C20/E20)*100</f>
        <v>52.272727272727273</v>
      </c>
      <c r="D21">
        <f>(D20/E20)*100</f>
        <v>1.1363636363636365</v>
      </c>
      <c r="G21" t="s">
        <v>156</v>
      </c>
      <c r="H21">
        <f>(H20/K20)*100</f>
        <v>40.566037735849058</v>
      </c>
      <c r="I21">
        <f>(I20/K20)*100</f>
        <v>54.716981132075468</v>
      </c>
      <c r="J21">
        <f>(J20/K20)*100</f>
        <v>4.716981132075472</v>
      </c>
      <c r="M21" t="s">
        <v>156</v>
      </c>
      <c r="N21">
        <f>(N20/Q20)*100</f>
        <v>42.95302013422819</v>
      </c>
      <c r="O21">
        <f>(O20/Q20)*100</f>
        <v>43.624161073825505</v>
      </c>
      <c r="P21">
        <f>(P20/Q20)*100</f>
        <v>13.422818791946309</v>
      </c>
      <c r="S21" s="7" t="s">
        <v>156</v>
      </c>
      <c r="T21">
        <f>AVERAGE(B21,H21,N21)</f>
        <v>43.369988986995445</v>
      </c>
      <c r="V21" s="14" t="s">
        <v>59</v>
      </c>
      <c r="W21" s="8">
        <f>(W20/(SQRT(3)))</f>
        <v>1.7516816662271761</v>
      </c>
    </row>
    <row r="22" spans="1:25" x14ac:dyDescent="0.2">
      <c r="S22" s="7"/>
      <c r="V22" s="14"/>
      <c r="W22" s="8"/>
    </row>
    <row r="23" spans="1:25" x14ac:dyDescent="0.2">
      <c r="A23" s="135" t="s">
        <v>302</v>
      </c>
      <c r="B23" s="135"/>
      <c r="C23" s="135"/>
      <c r="D23" s="135"/>
      <c r="E23" s="135"/>
      <c r="F23" s="91"/>
      <c r="G23" s="135" t="s">
        <v>303</v>
      </c>
      <c r="H23" s="135"/>
      <c r="I23" s="135"/>
      <c r="J23" s="135"/>
      <c r="K23" s="135"/>
      <c r="L23" s="91"/>
      <c r="M23" s="135" t="s">
        <v>304</v>
      </c>
      <c r="N23" s="135"/>
      <c r="O23" s="135"/>
      <c r="P23" s="135"/>
      <c r="Q23" s="135"/>
      <c r="R23" s="91"/>
      <c r="S23" s="133" t="s">
        <v>332</v>
      </c>
      <c r="T23" s="134"/>
      <c r="U23" s="91"/>
      <c r="V23" s="14"/>
      <c r="W23" s="8"/>
      <c r="X23" s="95"/>
      <c r="Y23" s="91"/>
    </row>
    <row r="24" spans="1:25" x14ac:dyDescent="0.2">
      <c r="A24" s="12" t="s">
        <v>29</v>
      </c>
      <c r="B24" t="s">
        <v>161</v>
      </c>
      <c r="C24" t="s">
        <v>241</v>
      </c>
      <c r="D24" t="s">
        <v>242</v>
      </c>
      <c r="E24" t="s">
        <v>55</v>
      </c>
      <c r="G24" s="12" t="s">
        <v>29</v>
      </c>
      <c r="H24" s="17" t="s">
        <v>161</v>
      </c>
      <c r="I24" s="17" t="s">
        <v>241</v>
      </c>
      <c r="J24" s="17" t="s">
        <v>242</v>
      </c>
      <c r="K24" t="s">
        <v>55</v>
      </c>
      <c r="M24" s="12" t="s">
        <v>29</v>
      </c>
      <c r="N24" s="17" t="s">
        <v>161</v>
      </c>
      <c r="O24" s="17" t="s">
        <v>241</v>
      </c>
      <c r="P24" s="17" t="s">
        <v>242</v>
      </c>
      <c r="Q24" t="s">
        <v>55</v>
      </c>
      <c r="S24" s="85" t="s">
        <v>29</v>
      </c>
      <c r="T24" s="17" t="s">
        <v>161</v>
      </c>
      <c r="U24" s="17"/>
      <c r="V24" s="14" t="s">
        <v>297</v>
      </c>
      <c r="W24" s="96" t="s">
        <v>161</v>
      </c>
    </row>
    <row r="25" spans="1:25" x14ac:dyDescent="0.2">
      <c r="B25">
        <v>85</v>
      </c>
      <c r="C25">
        <v>21</v>
      </c>
      <c r="D25">
        <v>2</v>
      </c>
      <c r="E25">
        <f>(B25+C25+D25)</f>
        <v>108</v>
      </c>
      <c r="H25">
        <v>62</v>
      </c>
      <c r="I25">
        <v>20</v>
      </c>
      <c r="J25">
        <v>0</v>
      </c>
      <c r="K25">
        <f>(H25+I25+J25)</f>
        <v>82</v>
      </c>
      <c r="N25">
        <f>26+8+45+59</f>
        <v>138</v>
      </c>
      <c r="O25">
        <f>10+2+11+8</f>
        <v>31</v>
      </c>
      <c r="P25">
        <f>26</f>
        <v>26</v>
      </c>
      <c r="Q25">
        <f>(N25+O25+P25)</f>
        <v>195</v>
      </c>
      <c r="S25" s="7"/>
      <c r="T25">
        <f>AVERAGE(B25,H25,N25)</f>
        <v>95</v>
      </c>
      <c r="V25" s="14" t="s">
        <v>63</v>
      </c>
      <c r="W25" s="8">
        <f>STDEVA(N26,H26,B26)</f>
        <v>3.9991469505309531</v>
      </c>
    </row>
    <row r="26" spans="1:25" x14ac:dyDescent="0.2">
      <c r="A26" t="s">
        <v>156</v>
      </c>
      <c r="B26">
        <f>(B25/E25)*100</f>
        <v>78.703703703703709</v>
      </c>
      <c r="C26">
        <f>(C25/E25)*100</f>
        <v>19.444444444444446</v>
      </c>
      <c r="D26">
        <f>(D25/E25)*100</f>
        <v>1.8518518518518516</v>
      </c>
      <c r="G26" t="s">
        <v>156</v>
      </c>
      <c r="H26">
        <f>(H25/K25)*100</f>
        <v>75.609756097560975</v>
      </c>
      <c r="I26">
        <f>(I25/K25)*100</f>
        <v>24.390243902439025</v>
      </c>
      <c r="J26">
        <f>(J25/K25)*100</f>
        <v>0</v>
      </c>
      <c r="M26" t="s">
        <v>156</v>
      </c>
      <c r="N26">
        <f>(N25/Q25)*100</f>
        <v>70.769230769230774</v>
      </c>
      <c r="O26">
        <f>(O25/Q25)*100</f>
        <v>15.897435897435896</v>
      </c>
      <c r="P26">
        <f>(P25/Q25)*100</f>
        <v>13.333333333333334</v>
      </c>
      <c r="S26" s="7" t="s">
        <v>156</v>
      </c>
      <c r="T26">
        <f>AVERAGE(B26,H26,N26)</f>
        <v>75.027563523498486</v>
      </c>
      <c r="V26" s="14" t="s">
        <v>59</v>
      </c>
      <c r="W26" s="8">
        <f>(W25/(SQRT(3)))</f>
        <v>2.3089085684179169</v>
      </c>
    </row>
    <row r="27" spans="1:25" x14ac:dyDescent="0.2">
      <c r="A27" s="88" t="s">
        <v>28</v>
      </c>
      <c r="B27" t="s">
        <v>161</v>
      </c>
      <c r="C27" t="s">
        <v>241</v>
      </c>
      <c r="D27" t="s">
        <v>242</v>
      </c>
      <c r="E27" t="s">
        <v>55</v>
      </c>
      <c r="G27" s="88" t="s">
        <v>28</v>
      </c>
      <c r="H27" s="17" t="s">
        <v>161</v>
      </c>
      <c r="I27" s="17" t="s">
        <v>241</v>
      </c>
      <c r="J27" s="17" t="s">
        <v>242</v>
      </c>
      <c r="K27" t="s">
        <v>55</v>
      </c>
      <c r="M27" s="88" t="s">
        <v>28</v>
      </c>
      <c r="N27" s="17" t="s">
        <v>161</v>
      </c>
      <c r="O27" s="17" t="s">
        <v>241</v>
      </c>
      <c r="P27" s="17" t="s">
        <v>242</v>
      </c>
      <c r="Q27" t="s">
        <v>55</v>
      </c>
      <c r="S27" s="86" t="s">
        <v>28</v>
      </c>
      <c r="T27" s="17" t="s">
        <v>161</v>
      </c>
      <c r="U27" s="17"/>
      <c r="V27" s="14"/>
      <c r="W27" s="8"/>
    </row>
    <row r="28" spans="1:25" x14ac:dyDescent="0.2">
      <c r="B28">
        <v>100</v>
      </c>
      <c r="C28">
        <v>12</v>
      </c>
      <c r="D28">
        <v>1</v>
      </c>
      <c r="E28">
        <f>(D28+C28+B28)</f>
        <v>113</v>
      </c>
      <c r="H28">
        <v>89</v>
      </c>
      <c r="I28">
        <v>9</v>
      </c>
      <c r="J28">
        <v>0</v>
      </c>
      <c r="K28">
        <f>(J28+I28+H28)</f>
        <v>98</v>
      </c>
      <c r="N28">
        <v>148</v>
      </c>
      <c r="O28">
        <v>39</v>
      </c>
      <c r="P28">
        <v>7</v>
      </c>
      <c r="Q28">
        <f>(P28+O28+N28)</f>
        <v>194</v>
      </c>
      <c r="S28" s="7"/>
      <c r="T28">
        <f>AVERAGE(B28,H28,N28)</f>
        <v>112.33333333333333</v>
      </c>
      <c r="V28" s="14" t="s">
        <v>63</v>
      </c>
      <c r="W28" s="8">
        <f>STDEVA(B29,H29,N29)</f>
        <v>7.8043553193896571</v>
      </c>
    </row>
    <row r="29" spans="1:25" x14ac:dyDescent="0.2">
      <c r="A29" t="s">
        <v>156</v>
      </c>
      <c r="B29">
        <f>(B28/E28)*100</f>
        <v>88.495575221238937</v>
      </c>
      <c r="C29">
        <f>(C28/E28)*100</f>
        <v>10.619469026548673</v>
      </c>
      <c r="D29">
        <f>(D28/E28)*100</f>
        <v>0.88495575221238942</v>
      </c>
      <c r="G29" t="s">
        <v>156</v>
      </c>
      <c r="H29">
        <f>(H28/K28)*100</f>
        <v>90.816326530612244</v>
      </c>
      <c r="I29">
        <f>(I28/K28)*100</f>
        <v>9.183673469387756</v>
      </c>
      <c r="J29">
        <f>(J28/K28)*100</f>
        <v>0</v>
      </c>
      <c r="M29" t="s">
        <v>156</v>
      </c>
      <c r="N29">
        <f>(N28/Q28)*100</f>
        <v>76.288659793814432</v>
      </c>
      <c r="O29">
        <f>(O28/Q28)*100</f>
        <v>20.103092783505154</v>
      </c>
      <c r="P29">
        <f>(P28/Q28)*100</f>
        <v>3.608247422680412</v>
      </c>
      <c r="S29" s="7" t="s">
        <v>156</v>
      </c>
      <c r="T29">
        <f>AVERAGE(B29,H29,N29)</f>
        <v>85.200187181888523</v>
      </c>
      <c r="V29" s="14" t="s">
        <v>59</v>
      </c>
      <c r="W29" s="8">
        <f>(W28/(SQRT(3)))</f>
        <v>4.5058466445011067</v>
      </c>
    </row>
    <row r="30" spans="1:25" x14ac:dyDescent="0.2">
      <c r="A30" s="89" t="s">
        <v>30</v>
      </c>
      <c r="B30" t="s">
        <v>161</v>
      </c>
      <c r="C30" t="s">
        <v>241</v>
      </c>
      <c r="D30" t="s">
        <v>242</v>
      </c>
      <c r="E30" t="s">
        <v>55</v>
      </c>
      <c r="G30" s="89" t="s">
        <v>30</v>
      </c>
      <c r="H30" s="17" t="s">
        <v>161</v>
      </c>
      <c r="I30" s="17" t="s">
        <v>241</v>
      </c>
      <c r="J30" s="17" t="s">
        <v>242</v>
      </c>
      <c r="K30" t="s">
        <v>55</v>
      </c>
      <c r="M30" s="89" t="s">
        <v>30</v>
      </c>
      <c r="N30" s="17" t="s">
        <v>161</v>
      </c>
      <c r="O30" s="17" t="s">
        <v>241</v>
      </c>
      <c r="P30" s="17" t="s">
        <v>242</v>
      </c>
      <c r="Q30" t="s">
        <v>55</v>
      </c>
      <c r="S30" s="87" t="s">
        <v>30</v>
      </c>
      <c r="T30" s="17" t="s">
        <v>161</v>
      </c>
      <c r="U30" s="17"/>
      <c r="V30" s="14"/>
      <c r="W30" s="8"/>
    </row>
    <row r="31" spans="1:25" x14ac:dyDescent="0.2">
      <c r="B31">
        <v>92</v>
      </c>
      <c r="C31">
        <v>31</v>
      </c>
      <c r="D31">
        <v>2</v>
      </c>
      <c r="E31">
        <f>(D31+C31+B31)</f>
        <v>125</v>
      </c>
      <c r="H31">
        <v>130</v>
      </c>
      <c r="I31">
        <v>24</v>
      </c>
      <c r="J31">
        <v>0</v>
      </c>
      <c r="K31">
        <f>(J31+I31+H31)</f>
        <v>154</v>
      </c>
      <c r="N31">
        <v>77</v>
      </c>
      <c r="O31">
        <v>47</v>
      </c>
      <c r="P31">
        <v>11</v>
      </c>
      <c r="Q31">
        <f>(P31+O31+N31)</f>
        <v>135</v>
      </c>
      <c r="S31" s="7"/>
      <c r="T31">
        <f>AVERAGE(B31,H31,N31)</f>
        <v>99.666666666666671</v>
      </c>
      <c r="V31" s="14" t="s">
        <v>63</v>
      </c>
      <c r="W31" s="8">
        <f>STDEVA(B32,H32,N32)</f>
        <v>13.789449257327686</v>
      </c>
    </row>
    <row r="32" spans="1:25" x14ac:dyDescent="0.2">
      <c r="A32" t="s">
        <v>156</v>
      </c>
      <c r="B32">
        <f>(B31/E31)*100</f>
        <v>73.599999999999994</v>
      </c>
      <c r="C32">
        <f>(C31/E31)*100</f>
        <v>24.8</v>
      </c>
      <c r="D32">
        <f>(D31/E31)*100</f>
        <v>1.6</v>
      </c>
      <c r="G32" t="s">
        <v>156</v>
      </c>
      <c r="H32">
        <f>(H31/K31)*100</f>
        <v>84.415584415584405</v>
      </c>
      <c r="I32">
        <f>(I31/K31)*100</f>
        <v>15.584415584415584</v>
      </c>
      <c r="J32">
        <f>(J31/K31)*100</f>
        <v>0</v>
      </c>
      <c r="M32" t="s">
        <v>156</v>
      </c>
      <c r="N32">
        <f>(N31/Q31)*100</f>
        <v>57.037037037037038</v>
      </c>
      <c r="O32">
        <f>(O31/Q31)*100</f>
        <v>34.814814814814817</v>
      </c>
      <c r="P32">
        <f>(P31/Q31)*100</f>
        <v>8.1481481481481488</v>
      </c>
      <c r="S32" s="7" t="s">
        <v>156</v>
      </c>
      <c r="T32">
        <f>AVERAGE(B32,H32,N32)</f>
        <v>71.684207150873803</v>
      </c>
      <c r="V32" s="14" t="s">
        <v>59</v>
      </c>
      <c r="W32" s="8">
        <f>(W31/(SQRT(3)))</f>
        <v>7.9613422406948251</v>
      </c>
    </row>
    <row r="33" spans="1:25" x14ac:dyDescent="0.2">
      <c r="S33" s="7"/>
      <c r="V33" s="14"/>
      <c r="W33" s="8"/>
    </row>
    <row r="34" spans="1:25" x14ac:dyDescent="0.2">
      <c r="A34" s="135" t="s">
        <v>305</v>
      </c>
      <c r="B34" s="135"/>
      <c r="C34" s="135"/>
      <c r="D34" s="135"/>
      <c r="E34" s="135"/>
      <c r="F34" s="91"/>
      <c r="G34" s="135" t="s">
        <v>306</v>
      </c>
      <c r="H34" s="135"/>
      <c r="I34" s="135"/>
      <c r="J34" s="135"/>
      <c r="K34" s="135"/>
      <c r="L34" s="91"/>
      <c r="M34" s="135" t="s">
        <v>307</v>
      </c>
      <c r="N34" s="135"/>
      <c r="O34" s="135"/>
      <c r="P34" s="135"/>
      <c r="Q34" s="135"/>
      <c r="R34" s="91"/>
      <c r="S34" s="133" t="s">
        <v>333</v>
      </c>
      <c r="T34" s="134"/>
      <c r="U34" s="91"/>
      <c r="V34" s="14"/>
      <c r="W34" s="8"/>
      <c r="X34" s="95"/>
      <c r="Y34" s="91"/>
    </row>
    <row r="35" spans="1:25" x14ac:dyDescent="0.2">
      <c r="A35" s="12" t="s">
        <v>29</v>
      </c>
      <c r="B35" t="s">
        <v>161</v>
      </c>
      <c r="C35" t="s">
        <v>241</v>
      </c>
      <c r="D35" t="s">
        <v>242</v>
      </c>
      <c r="E35" t="s">
        <v>55</v>
      </c>
      <c r="G35" s="12" t="s">
        <v>29</v>
      </c>
      <c r="H35" t="s">
        <v>161</v>
      </c>
      <c r="I35" t="s">
        <v>241</v>
      </c>
      <c r="J35" t="s">
        <v>242</v>
      </c>
      <c r="K35" t="s">
        <v>55</v>
      </c>
      <c r="M35" s="12" t="s">
        <v>29</v>
      </c>
      <c r="N35" s="17" t="s">
        <v>161</v>
      </c>
      <c r="O35" s="17" t="s">
        <v>241</v>
      </c>
      <c r="P35" s="17" t="s">
        <v>242</v>
      </c>
      <c r="Q35" t="s">
        <v>55</v>
      </c>
      <c r="S35" s="85" t="s">
        <v>29</v>
      </c>
      <c r="T35" s="17" t="s">
        <v>161</v>
      </c>
      <c r="U35" s="17"/>
      <c r="V35" s="14" t="s">
        <v>298</v>
      </c>
      <c r="W35" s="96" t="s">
        <v>161</v>
      </c>
    </row>
    <row r="36" spans="1:25" x14ac:dyDescent="0.2">
      <c r="B36">
        <v>97</v>
      </c>
      <c r="C36">
        <v>19</v>
      </c>
      <c r="D36">
        <v>0</v>
      </c>
      <c r="E36">
        <f>(B36+C36+D36)</f>
        <v>116</v>
      </c>
      <c r="H36">
        <v>97</v>
      </c>
      <c r="I36">
        <v>42</v>
      </c>
      <c r="J36">
        <v>14</v>
      </c>
      <c r="K36">
        <f>(H36+I36+J36)</f>
        <v>153</v>
      </c>
      <c r="N36">
        <v>94</v>
      </c>
      <c r="O36">
        <v>32</v>
      </c>
      <c r="P36">
        <v>3</v>
      </c>
      <c r="Q36">
        <f>(N36+O36+P36)</f>
        <v>129</v>
      </c>
      <c r="S36" s="7"/>
      <c r="T36">
        <f>AVERAGE(B36,H36,N36)</f>
        <v>96</v>
      </c>
      <c r="V36" s="14" t="s">
        <v>63</v>
      </c>
      <c r="W36" s="8">
        <f>STDEVA(N37,H37,B37)</f>
        <v>10.117779012090416</v>
      </c>
    </row>
    <row r="37" spans="1:25" x14ac:dyDescent="0.2">
      <c r="A37" t="s">
        <v>156</v>
      </c>
      <c r="B37">
        <f>(B36/E36)*100</f>
        <v>83.620689655172413</v>
      </c>
      <c r="C37">
        <f>(C36/E36)*100</f>
        <v>16.379310344827587</v>
      </c>
      <c r="D37">
        <f>(D36/E36)*100</f>
        <v>0</v>
      </c>
      <c r="G37" t="s">
        <v>156</v>
      </c>
      <c r="H37">
        <f>(H36/K36)*100</f>
        <v>63.398692810457511</v>
      </c>
      <c r="I37">
        <f>(I36/K36)*100</f>
        <v>27.450980392156865</v>
      </c>
      <c r="J37">
        <f>(J36/K36)*100</f>
        <v>9.1503267973856204</v>
      </c>
      <c r="M37" t="s">
        <v>156</v>
      </c>
      <c r="N37">
        <f>(N36/Q36)*100</f>
        <v>72.868217054263567</v>
      </c>
      <c r="O37">
        <f>(O36/Q36)*100</f>
        <v>24.806201550387598</v>
      </c>
      <c r="P37">
        <f>(P36/Q36)*100</f>
        <v>2.3255813953488373</v>
      </c>
      <c r="S37" s="7" t="s">
        <v>156</v>
      </c>
      <c r="T37">
        <f>AVERAGE(B37,H37,N37)</f>
        <v>73.295866506631157</v>
      </c>
      <c r="V37" s="14" t="s">
        <v>59</v>
      </c>
      <c r="W37" s="8">
        <f>(W36/(SQRT(3)))</f>
        <v>5.841502436231548</v>
      </c>
    </row>
    <row r="38" spans="1:25" x14ac:dyDescent="0.2">
      <c r="A38" s="88" t="s">
        <v>28</v>
      </c>
      <c r="B38" t="s">
        <v>161</v>
      </c>
      <c r="C38" t="s">
        <v>241</v>
      </c>
      <c r="D38" t="s">
        <v>242</v>
      </c>
      <c r="E38" t="s">
        <v>55</v>
      </c>
      <c r="G38" s="88" t="s">
        <v>28</v>
      </c>
      <c r="H38" s="17" t="s">
        <v>161</v>
      </c>
      <c r="I38" s="17" t="s">
        <v>241</v>
      </c>
      <c r="J38" s="17" t="s">
        <v>242</v>
      </c>
      <c r="K38" t="s">
        <v>55</v>
      </c>
      <c r="M38" s="88" t="s">
        <v>28</v>
      </c>
      <c r="N38" s="17" t="s">
        <v>161</v>
      </c>
      <c r="O38" s="17" t="s">
        <v>241</v>
      </c>
      <c r="P38" s="17" t="s">
        <v>242</v>
      </c>
      <c r="Q38" t="s">
        <v>55</v>
      </c>
      <c r="S38" s="86" t="s">
        <v>28</v>
      </c>
      <c r="T38" s="17" t="s">
        <v>161</v>
      </c>
      <c r="U38" s="17"/>
      <c r="V38" s="14"/>
      <c r="W38" s="8"/>
    </row>
    <row r="39" spans="1:25" x14ac:dyDescent="0.2">
      <c r="B39">
        <v>100</v>
      </c>
      <c r="C39">
        <v>18</v>
      </c>
      <c r="D39">
        <v>1</v>
      </c>
      <c r="E39">
        <f>(D39+C39+B39)</f>
        <v>119</v>
      </c>
      <c r="H39">
        <v>94</v>
      </c>
      <c r="I39">
        <v>25</v>
      </c>
      <c r="J39">
        <v>5</v>
      </c>
      <c r="K39">
        <f>(J39+I39+H39)</f>
        <v>124</v>
      </c>
      <c r="N39">
        <v>111</v>
      </c>
      <c r="O39">
        <v>46</v>
      </c>
      <c r="P39">
        <v>2</v>
      </c>
      <c r="Q39">
        <f>(P39+O39+N39)</f>
        <v>159</v>
      </c>
      <c r="S39" s="7"/>
      <c r="T39">
        <f>(AVERAGE(B39,H39,N39))</f>
        <v>101.66666666666667</v>
      </c>
      <c r="V39" s="14" t="s">
        <v>63</v>
      </c>
      <c r="W39" s="8">
        <f>STDEVA(B40,H40,N40)</f>
        <v>7.1402777163933839</v>
      </c>
    </row>
    <row r="40" spans="1:25" x14ac:dyDescent="0.2">
      <c r="A40" t="s">
        <v>156</v>
      </c>
      <c r="B40">
        <f>(B39/E39)*100</f>
        <v>84.033613445378151</v>
      </c>
      <c r="C40">
        <f>(C39/E39)*100</f>
        <v>15.126050420168067</v>
      </c>
      <c r="D40">
        <f>(D39/E39)*100</f>
        <v>0.84033613445378152</v>
      </c>
      <c r="G40" t="s">
        <v>156</v>
      </c>
      <c r="H40">
        <f>(H39/K39)*100</f>
        <v>75.806451612903231</v>
      </c>
      <c r="I40">
        <f>(I39/K39)*100</f>
        <v>20.161290322580644</v>
      </c>
      <c r="J40">
        <f>(J39/K39)*100</f>
        <v>4.032258064516129</v>
      </c>
      <c r="M40" t="s">
        <v>156</v>
      </c>
      <c r="N40">
        <f>(N39/Q39)*100</f>
        <v>69.811320754716974</v>
      </c>
      <c r="O40">
        <f>(O39/Q39)*100</f>
        <v>28.930817610062892</v>
      </c>
      <c r="P40">
        <f>(P39/Q39)*100</f>
        <v>1.257861635220126</v>
      </c>
      <c r="S40" s="7" t="s">
        <v>156</v>
      </c>
      <c r="T40">
        <f>(AVERAGE(B40,H40,N40))</f>
        <v>76.550461937666114</v>
      </c>
      <c r="V40" s="14" t="s">
        <v>59</v>
      </c>
      <c r="W40" s="8">
        <f>(W39/(SQRT(3)))</f>
        <v>4.1224412616484072</v>
      </c>
    </row>
    <row r="41" spans="1:25" x14ac:dyDescent="0.2">
      <c r="A41" s="89" t="s">
        <v>30</v>
      </c>
      <c r="B41" t="s">
        <v>161</v>
      </c>
      <c r="C41" t="s">
        <v>241</v>
      </c>
      <c r="D41" t="s">
        <v>242</v>
      </c>
      <c r="E41" t="s">
        <v>55</v>
      </c>
      <c r="G41" s="89" t="s">
        <v>30</v>
      </c>
      <c r="H41" s="17" t="s">
        <v>161</v>
      </c>
      <c r="I41" s="17" t="s">
        <v>241</v>
      </c>
      <c r="J41" s="17" t="s">
        <v>242</v>
      </c>
      <c r="K41" t="s">
        <v>55</v>
      </c>
      <c r="M41" s="89" t="s">
        <v>30</v>
      </c>
      <c r="N41" s="17" t="s">
        <v>161</v>
      </c>
      <c r="O41" s="17" t="s">
        <v>241</v>
      </c>
      <c r="P41" s="17" t="s">
        <v>242</v>
      </c>
      <c r="Q41" t="s">
        <v>55</v>
      </c>
      <c r="S41" s="87" t="s">
        <v>30</v>
      </c>
      <c r="T41" s="17" t="s">
        <v>161</v>
      </c>
      <c r="U41" s="17"/>
      <c r="V41" s="14"/>
      <c r="W41" s="8"/>
    </row>
    <row r="42" spans="1:25" x14ac:dyDescent="0.2">
      <c r="B42">
        <v>76</v>
      </c>
      <c r="C42">
        <v>78</v>
      </c>
      <c r="D42">
        <v>3</v>
      </c>
      <c r="E42">
        <f>(D42+C42+B42)</f>
        <v>157</v>
      </c>
      <c r="H42">
        <v>109</v>
      </c>
      <c r="I42">
        <v>111</v>
      </c>
      <c r="J42">
        <v>17</v>
      </c>
      <c r="K42">
        <f>(J42+I42+H42)</f>
        <v>237</v>
      </c>
      <c r="N42">
        <v>69</v>
      </c>
      <c r="O42">
        <v>71</v>
      </c>
      <c r="P42">
        <v>2</v>
      </c>
      <c r="Q42">
        <f>(P42+O42+N42)</f>
        <v>142</v>
      </c>
      <c r="S42" s="7"/>
      <c r="T42">
        <f>AVERAGE(B42,H42,N42)</f>
        <v>84.666666666666671</v>
      </c>
      <c r="V42" s="14" t="s">
        <v>63</v>
      </c>
      <c r="W42" s="8">
        <f>STDEVA(B43,H43,N43)</f>
        <v>1.4509314518422336</v>
      </c>
    </row>
    <row r="43" spans="1:25" ht="16" thickBot="1" x14ac:dyDescent="0.25">
      <c r="A43" t="s">
        <v>156</v>
      </c>
      <c r="B43">
        <f>(B42/E42)*100</f>
        <v>48.407643312101911</v>
      </c>
      <c r="C43">
        <f>(C42/E42)*100</f>
        <v>49.681528662420384</v>
      </c>
      <c r="D43">
        <f>(D42/E42)*100</f>
        <v>1.910828025477707</v>
      </c>
      <c r="G43" t="s">
        <v>156</v>
      </c>
      <c r="H43">
        <f>(H42/K42)*100</f>
        <v>45.991561181434598</v>
      </c>
      <c r="I43">
        <f>(I42/K42)*100</f>
        <v>46.835443037974684</v>
      </c>
      <c r="J43">
        <f>(J42/K42)*100</f>
        <v>7.1729957805907167</v>
      </c>
      <c r="M43" t="s">
        <v>156</v>
      </c>
      <c r="N43">
        <f>(N42/Q42)*100</f>
        <v>48.591549295774648</v>
      </c>
      <c r="O43">
        <f>(O42/Q42)*100</f>
        <v>50</v>
      </c>
      <c r="P43">
        <f>(P42/Q42)*100</f>
        <v>1.4084507042253522</v>
      </c>
      <c r="S43" s="9" t="s">
        <v>156</v>
      </c>
      <c r="T43" s="4">
        <f>AVERAGE(B43,H43,N43)</f>
        <v>47.663584596437055</v>
      </c>
      <c r="U43" s="4"/>
      <c r="V43" s="97" t="s">
        <v>59</v>
      </c>
      <c r="W43" s="10">
        <f>(W42/(SQRT(3)))</f>
        <v>0.8376956642968082</v>
      </c>
    </row>
    <row r="46" spans="1:25" x14ac:dyDescent="0.2">
      <c r="B46" t="s">
        <v>95</v>
      </c>
      <c r="D46" s="110" t="s">
        <v>308</v>
      </c>
      <c r="E46" s="110"/>
      <c r="J46" t="s">
        <v>95</v>
      </c>
      <c r="L46" s="110" t="s">
        <v>309</v>
      </c>
      <c r="M46" s="110"/>
      <c r="R46" t="s">
        <v>95</v>
      </c>
      <c r="T46" s="110" t="s">
        <v>310</v>
      </c>
      <c r="U46" s="110"/>
    </row>
    <row r="47" spans="1:25" x14ac:dyDescent="0.2">
      <c r="X47" s="114" t="s">
        <v>60</v>
      </c>
      <c r="Y47" s="114"/>
    </row>
    <row r="48" spans="1:25" ht="16" thickBot="1" x14ac:dyDescent="0.25">
      <c r="B48" t="s">
        <v>96</v>
      </c>
      <c r="J48" t="s">
        <v>96</v>
      </c>
      <c r="R48" t="s">
        <v>96</v>
      </c>
      <c r="X48" s="11" t="s">
        <v>54</v>
      </c>
      <c r="Y48" s="12"/>
    </row>
    <row r="49" spans="2:24" x14ac:dyDescent="0.2">
      <c r="B49" s="3" t="s">
        <v>97</v>
      </c>
      <c r="C49" s="3" t="s">
        <v>98</v>
      </c>
      <c r="D49" s="3" t="s">
        <v>99</v>
      </c>
      <c r="E49" s="3" t="s">
        <v>100</v>
      </c>
      <c r="F49" s="3" t="s">
        <v>39</v>
      </c>
      <c r="J49" s="3" t="s">
        <v>97</v>
      </c>
      <c r="K49" s="3" t="s">
        <v>98</v>
      </c>
      <c r="L49" s="3" t="s">
        <v>99</v>
      </c>
      <c r="M49" s="3" t="s">
        <v>100</v>
      </c>
      <c r="N49" s="3" t="s">
        <v>39</v>
      </c>
      <c r="R49" s="3" t="s">
        <v>97</v>
      </c>
      <c r="S49" s="3" t="s">
        <v>98</v>
      </c>
      <c r="T49" s="3" t="s">
        <v>99</v>
      </c>
      <c r="U49" s="3" t="s">
        <v>100</v>
      </c>
      <c r="V49" s="3" t="s">
        <v>39</v>
      </c>
    </row>
    <row r="50" spans="2:24" x14ac:dyDescent="0.2">
      <c r="B50" t="s">
        <v>101</v>
      </c>
      <c r="C50">
        <v>3</v>
      </c>
      <c r="D50">
        <v>145.49143048092498</v>
      </c>
      <c r="E50">
        <v>48.497143493641659</v>
      </c>
      <c r="F50">
        <v>79.107173657419935</v>
      </c>
      <c r="J50" t="s">
        <v>101</v>
      </c>
      <c r="K50">
        <v>3</v>
      </c>
      <c r="L50">
        <v>225.08269057049546</v>
      </c>
      <c r="M50">
        <v>75.027563523498486</v>
      </c>
      <c r="N50">
        <v>15.993176331941022</v>
      </c>
      <c r="R50" t="s">
        <v>101</v>
      </c>
      <c r="S50">
        <v>3</v>
      </c>
      <c r="T50">
        <v>219.88759951989348</v>
      </c>
      <c r="U50">
        <v>73.295866506631157</v>
      </c>
      <c r="V50">
        <v>102.36945213749823</v>
      </c>
    </row>
    <row r="51" spans="2:24" ht="16" thickBot="1" x14ac:dyDescent="0.25">
      <c r="B51" s="4" t="s">
        <v>102</v>
      </c>
      <c r="C51" s="4">
        <v>3</v>
      </c>
      <c r="D51" s="4">
        <v>218.84222973902044</v>
      </c>
      <c r="E51" s="4">
        <v>72.947409913006808</v>
      </c>
      <c r="F51" s="4">
        <v>28.888725059238247</v>
      </c>
      <c r="J51" s="4" t="s">
        <v>102</v>
      </c>
      <c r="K51" s="4">
        <v>3</v>
      </c>
      <c r="L51" s="4">
        <v>218.84222973902044</v>
      </c>
      <c r="M51" s="4">
        <v>72.947409913006808</v>
      </c>
      <c r="N51" s="4">
        <v>28.888725059238247</v>
      </c>
      <c r="R51" s="4" t="s">
        <v>102</v>
      </c>
      <c r="S51" s="4">
        <v>3</v>
      </c>
      <c r="T51" s="4">
        <v>218.84222973902044</v>
      </c>
      <c r="U51" s="4">
        <v>72.947409913006808</v>
      </c>
      <c r="V51" s="4">
        <v>28.888725059238247</v>
      </c>
    </row>
    <row r="54" spans="2:24" ht="16" thickBot="1" x14ac:dyDescent="0.25">
      <c r="B54" t="s">
        <v>103</v>
      </c>
      <c r="J54" t="s">
        <v>103</v>
      </c>
      <c r="R54" t="s">
        <v>103</v>
      </c>
    </row>
    <row r="55" spans="2:24" x14ac:dyDescent="0.2">
      <c r="B55" s="3" t="s">
        <v>104</v>
      </c>
      <c r="C55" s="3" t="s">
        <v>105</v>
      </c>
      <c r="D55" s="3" t="s">
        <v>106</v>
      </c>
      <c r="E55" s="3" t="s">
        <v>107</v>
      </c>
      <c r="F55" s="3" t="s">
        <v>49</v>
      </c>
      <c r="G55" s="3" t="s">
        <v>108</v>
      </c>
      <c r="H55" s="3" t="s">
        <v>109</v>
      </c>
      <c r="J55" s="3" t="s">
        <v>104</v>
      </c>
      <c r="K55" s="3" t="s">
        <v>105</v>
      </c>
      <c r="L55" s="3" t="s">
        <v>106</v>
      </c>
      <c r="M55" s="3" t="s">
        <v>107</v>
      </c>
      <c r="N55" s="3" t="s">
        <v>49</v>
      </c>
      <c r="O55" s="3" t="s">
        <v>108</v>
      </c>
      <c r="P55" s="3" t="s">
        <v>109</v>
      </c>
      <c r="R55" s="3" t="s">
        <v>104</v>
      </c>
      <c r="S55" s="3" t="s">
        <v>105</v>
      </c>
      <c r="T55" s="3" t="s">
        <v>106</v>
      </c>
      <c r="U55" s="3" t="s">
        <v>107</v>
      </c>
      <c r="V55" s="3" t="s">
        <v>49</v>
      </c>
      <c r="W55" s="3" t="s">
        <v>108</v>
      </c>
      <c r="X55" s="3" t="s">
        <v>109</v>
      </c>
    </row>
    <row r="56" spans="2:24" x14ac:dyDescent="0.2">
      <c r="B56" t="s">
        <v>110</v>
      </c>
      <c r="C56">
        <v>896.72329196690316</v>
      </c>
      <c r="D56">
        <v>1</v>
      </c>
      <c r="E56">
        <v>896.72329196690316</v>
      </c>
      <c r="F56">
        <v>16.606617522014801</v>
      </c>
      <c r="G56">
        <v>1.5159017247435461E-2</v>
      </c>
      <c r="H56">
        <v>7.708647422176786</v>
      </c>
      <c r="J56" t="s">
        <v>110</v>
      </c>
      <c r="K56">
        <v>6.4905585648623116</v>
      </c>
      <c r="L56">
        <v>1</v>
      </c>
      <c r="M56">
        <v>6.4905585648623116</v>
      </c>
      <c r="N56">
        <v>0.28922832427673906</v>
      </c>
      <c r="O56">
        <v>0.61924201090634456</v>
      </c>
      <c r="P56">
        <v>7.708647422176786</v>
      </c>
      <c r="R56" t="s">
        <v>110</v>
      </c>
      <c r="S56">
        <v>0.18213299646043879</v>
      </c>
      <c r="T56">
        <v>1</v>
      </c>
      <c r="U56">
        <v>0.18213299646043879</v>
      </c>
      <c r="V56">
        <v>2.7751870451080459E-3</v>
      </c>
      <c r="W56">
        <v>0.96051279358286168</v>
      </c>
      <c r="X56">
        <v>7.708647422176786</v>
      </c>
    </row>
    <row r="57" spans="2:24" x14ac:dyDescent="0.2">
      <c r="B57" t="s">
        <v>111</v>
      </c>
      <c r="C57">
        <v>215.99179743331814</v>
      </c>
      <c r="D57">
        <v>4</v>
      </c>
      <c r="E57">
        <v>53.997949358329535</v>
      </c>
      <c r="J57" t="s">
        <v>111</v>
      </c>
      <c r="K57">
        <v>89.763802782358539</v>
      </c>
      <c r="L57">
        <v>4</v>
      </c>
      <c r="M57">
        <v>22.440950695589635</v>
      </c>
      <c r="R57" t="s">
        <v>111</v>
      </c>
      <c r="S57">
        <v>262.51635439347166</v>
      </c>
      <c r="T57">
        <v>4</v>
      </c>
      <c r="U57">
        <v>65.629088598367915</v>
      </c>
    </row>
    <row r="59" spans="2:24" ht="16" thickBot="1" x14ac:dyDescent="0.25">
      <c r="B59" s="4" t="s">
        <v>55</v>
      </c>
      <c r="C59" s="4">
        <v>1112.7150894002214</v>
      </c>
      <c r="D59" s="4">
        <v>5</v>
      </c>
      <c r="E59" s="4"/>
      <c r="F59" s="4"/>
      <c r="G59" s="4"/>
      <c r="H59" s="4"/>
      <c r="J59" s="4" t="s">
        <v>55</v>
      </c>
      <c r="K59" s="4">
        <v>96.254361347220851</v>
      </c>
      <c r="L59" s="4">
        <v>5</v>
      </c>
      <c r="M59" s="4"/>
      <c r="N59" s="4"/>
      <c r="O59" s="4"/>
      <c r="P59" s="4"/>
      <c r="R59" s="4" t="s">
        <v>55</v>
      </c>
      <c r="S59" s="4">
        <v>262.6984873899321</v>
      </c>
      <c r="T59" s="4">
        <v>5</v>
      </c>
      <c r="U59" s="4"/>
      <c r="V59" s="4"/>
      <c r="W59" s="4"/>
      <c r="X59" s="4"/>
    </row>
    <row r="62" spans="2:24" x14ac:dyDescent="0.2">
      <c r="B62" t="s">
        <v>95</v>
      </c>
      <c r="E62" s="110" t="s">
        <v>311</v>
      </c>
      <c r="F62" s="110"/>
      <c r="J62" t="s">
        <v>95</v>
      </c>
      <c r="L62" s="110" t="s">
        <v>312</v>
      </c>
      <c r="M62" s="110"/>
      <c r="S62" t="s">
        <v>95</v>
      </c>
      <c r="U62" s="110" t="s">
        <v>313</v>
      </c>
      <c r="V62" s="110"/>
    </row>
    <row r="64" spans="2:24" ht="16" thickBot="1" x14ac:dyDescent="0.25">
      <c r="B64" t="s">
        <v>96</v>
      </c>
      <c r="J64" t="s">
        <v>96</v>
      </c>
      <c r="S64" t="s">
        <v>96</v>
      </c>
    </row>
    <row r="65" spans="2:25" x14ac:dyDescent="0.2">
      <c r="B65" s="3" t="s">
        <v>97</v>
      </c>
      <c r="C65" s="3" t="s">
        <v>98</v>
      </c>
      <c r="D65" s="3" t="s">
        <v>99</v>
      </c>
      <c r="E65" s="3" t="s">
        <v>100</v>
      </c>
      <c r="F65" s="3" t="s">
        <v>39</v>
      </c>
      <c r="J65" s="3" t="s">
        <v>97</v>
      </c>
      <c r="K65" s="3" t="s">
        <v>98</v>
      </c>
      <c r="L65" s="3" t="s">
        <v>99</v>
      </c>
      <c r="M65" s="3" t="s">
        <v>100</v>
      </c>
      <c r="N65" s="3" t="s">
        <v>39</v>
      </c>
      <c r="S65" s="3" t="s">
        <v>97</v>
      </c>
      <c r="T65" s="3" t="s">
        <v>98</v>
      </c>
      <c r="U65" s="3" t="s">
        <v>99</v>
      </c>
      <c r="V65" s="3" t="s">
        <v>100</v>
      </c>
      <c r="W65" s="3" t="s">
        <v>39</v>
      </c>
    </row>
    <row r="66" spans="2:25" x14ac:dyDescent="0.2">
      <c r="B66" t="s">
        <v>101</v>
      </c>
      <c r="C66">
        <v>3</v>
      </c>
      <c r="D66">
        <v>229.47784519213093</v>
      </c>
      <c r="E66">
        <v>76.492615064043648</v>
      </c>
      <c r="F66">
        <v>6.5600332482374659</v>
      </c>
      <c r="J66" t="s">
        <v>101</v>
      </c>
      <c r="K66">
        <v>3</v>
      </c>
      <c r="L66">
        <v>255.60056154566558</v>
      </c>
      <c r="M66">
        <v>85.200187181888523</v>
      </c>
      <c r="N66">
        <v>60.907961951285642</v>
      </c>
      <c r="S66" t="s">
        <v>101</v>
      </c>
      <c r="T66">
        <v>3</v>
      </c>
      <c r="U66">
        <v>229.65138581299834</v>
      </c>
      <c r="V66">
        <v>76.550461937666114</v>
      </c>
      <c r="W66">
        <v>50.983565867223916</v>
      </c>
    </row>
    <row r="67" spans="2:25" ht="16" thickBot="1" x14ac:dyDescent="0.25">
      <c r="B67" s="4" t="s">
        <v>102</v>
      </c>
      <c r="C67" s="4">
        <v>3</v>
      </c>
      <c r="D67" s="4">
        <v>220.80562060889929</v>
      </c>
      <c r="E67" s="4">
        <v>73.601873536299763</v>
      </c>
      <c r="F67" s="4">
        <v>200.37246954680904</v>
      </c>
      <c r="J67" s="4" t="s">
        <v>102</v>
      </c>
      <c r="K67" s="4">
        <v>3</v>
      </c>
      <c r="L67" s="4">
        <v>220.80562060889929</v>
      </c>
      <c r="M67" s="4">
        <v>73.601873536299763</v>
      </c>
      <c r="N67" s="4">
        <v>200.37246954680904</v>
      </c>
      <c r="S67" s="4" t="s">
        <v>102</v>
      </c>
      <c r="T67" s="4">
        <v>3</v>
      </c>
      <c r="U67" s="4">
        <v>220.80562060889929</v>
      </c>
      <c r="V67" s="4">
        <v>73.601873536299763</v>
      </c>
      <c r="W67" s="4">
        <v>200.37246954680904</v>
      </c>
    </row>
    <row r="70" spans="2:25" ht="16" thickBot="1" x14ac:dyDescent="0.25">
      <c r="B70" t="s">
        <v>103</v>
      </c>
      <c r="J70" t="s">
        <v>103</v>
      </c>
      <c r="S70" t="s">
        <v>103</v>
      </c>
    </row>
    <row r="71" spans="2:25" x14ac:dyDescent="0.2">
      <c r="B71" s="3" t="s">
        <v>104</v>
      </c>
      <c r="C71" s="3" t="s">
        <v>105</v>
      </c>
      <c r="D71" s="3" t="s">
        <v>106</v>
      </c>
      <c r="E71" s="3" t="s">
        <v>107</v>
      </c>
      <c r="F71" s="3" t="s">
        <v>49</v>
      </c>
      <c r="G71" s="3" t="s">
        <v>108</v>
      </c>
      <c r="H71" s="3" t="s">
        <v>109</v>
      </c>
      <c r="J71" s="3" t="s">
        <v>104</v>
      </c>
      <c r="K71" s="3" t="s">
        <v>105</v>
      </c>
      <c r="L71" s="3" t="s">
        <v>106</v>
      </c>
      <c r="M71" s="3" t="s">
        <v>107</v>
      </c>
      <c r="N71" s="3" t="s">
        <v>49</v>
      </c>
      <c r="O71" s="3" t="s">
        <v>108</v>
      </c>
      <c r="P71" s="3" t="s">
        <v>109</v>
      </c>
      <c r="S71" s="3" t="s">
        <v>104</v>
      </c>
      <c r="T71" s="3" t="s">
        <v>105</v>
      </c>
      <c r="U71" s="3" t="s">
        <v>106</v>
      </c>
      <c r="V71" s="3" t="s">
        <v>107</v>
      </c>
      <c r="W71" s="3" t="s">
        <v>49</v>
      </c>
      <c r="X71" s="3" t="s">
        <v>108</v>
      </c>
      <c r="Y71" s="3" t="s">
        <v>109</v>
      </c>
    </row>
    <row r="72" spans="2:25" x14ac:dyDescent="0.2">
      <c r="B72" t="s">
        <v>110</v>
      </c>
      <c r="C72">
        <v>12.534579870334426</v>
      </c>
      <c r="D72">
        <v>1</v>
      </c>
      <c r="E72">
        <v>12.534579870334426</v>
      </c>
      <c r="F72">
        <v>0.12114655456276172</v>
      </c>
      <c r="G72">
        <v>0.74533971384601372</v>
      </c>
      <c r="H72">
        <v>7.708647422176786</v>
      </c>
      <c r="J72" t="s">
        <v>110</v>
      </c>
      <c r="K72">
        <v>201.78131913217601</v>
      </c>
      <c r="L72">
        <v>1</v>
      </c>
      <c r="M72">
        <v>201.78131913217601</v>
      </c>
      <c r="N72">
        <v>1.5445574548023357</v>
      </c>
      <c r="O72">
        <v>0.28181641932081147</v>
      </c>
      <c r="P72">
        <v>7.708647422176786</v>
      </c>
      <c r="S72" t="s">
        <v>110</v>
      </c>
      <c r="T72">
        <v>13.04126034100824</v>
      </c>
      <c r="U72">
        <v>1</v>
      </c>
      <c r="V72">
        <v>13.04126034100824</v>
      </c>
      <c r="W72">
        <v>0.1037672345486095</v>
      </c>
      <c r="X72">
        <v>0.76348755079154373</v>
      </c>
      <c r="Y72">
        <v>7.708647422176786</v>
      </c>
    </row>
    <row r="73" spans="2:25" x14ac:dyDescent="0.2">
      <c r="B73" t="s">
        <v>111</v>
      </c>
      <c r="C73">
        <v>413.86500559009153</v>
      </c>
      <c r="D73">
        <v>4</v>
      </c>
      <c r="E73">
        <v>103.46625139752288</v>
      </c>
      <c r="J73" t="s">
        <v>111</v>
      </c>
      <c r="K73">
        <v>522.56086299618789</v>
      </c>
      <c r="L73">
        <v>4</v>
      </c>
      <c r="M73">
        <v>130.64021574904697</v>
      </c>
      <c r="S73" t="s">
        <v>111</v>
      </c>
      <c r="T73">
        <v>502.71207082806444</v>
      </c>
      <c r="U73">
        <v>4</v>
      </c>
      <c r="V73">
        <v>125.67801770701611</v>
      </c>
    </row>
    <row r="75" spans="2:25" ht="16" thickBot="1" x14ac:dyDescent="0.25">
      <c r="B75" s="4" t="s">
        <v>55</v>
      </c>
      <c r="C75" s="4">
        <v>426.39958546042595</v>
      </c>
      <c r="D75" s="4">
        <v>5</v>
      </c>
      <c r="E75" s="4"/>
      <c r="F75" s="4"/>
      <c r="G75" s="4"/>
      <c r="H75" s="4"/>
      <c r="J75" s="4" t="s">
        <v>55</v>
      </c>
      <c r="K75" s="4">
        <v>724.3421821283639</v>
      </c>
      <c r="L75" s="4">
        <v>5</v>
      </c>
      <c r="M75" s="4"/>
      <c r="N75" s="4"/>
      <c r="O75" s="4"/>
      <c r="P75" s="4"/>
      <c r="S75" s="4" t="s">
        <v>55</v>
      </c>
      <c r="T75" s="4">
        <v>515.75333116907268</v>
      </c>
      <c r="U75" s="4">
        <v>5</v>
      </c>
      <c r="V75" s="4"/>
      <c r="W75" s="4"/>
      <c r="X75" s="4"/>
      <c r="Y75" s="4"/>
    </row>
    <row r="78" spans="2:25" x14ac:dyDescent="0.2">
      <c r="B78" t="s">
        <v>95</v>
      </c>
      <c r="E78" s="110" t="s">
        <v>314</v>
      </c>
      <c r="F78" s="110"/>
      <c r="J78" t="s">
        <v>95</v>
      </c>
      <c r="M78" s="110" t="s">
        <v>315</v>
      </c>
      <c r="N78" s="110"/>
      <c r="S78" t="s">
        <v>95</v>
      </c>
      <c r="V78" s="110" t="s">
        <v>313</v>
      </c>
      <c r="W78" s="110"/>
    </row>
    <row r="80" spans="2:25" ht="16" thickBot="1" x14ac:dyDescent="0.25">
      <c r="B80" t="s">
        <v>96</v>
      </c>
      <c r="J80" t="s">
        <v>96</v>
      </c>
      <c r="S80" t="s">
        <v>96</v>
      </c>
    </row>
    <row r="81" spans="2:25" x14ac:dyDescent="0.2">
      <c r="B81" s="3" t="s">
        <v>97</v>
      </c>
      <c r="C81" s="3" t="s">
        <v>98</v>
      </c>
      <c r="D81" s="3" t="s">
        <v>99</v>
      </c>
      <c r="E81" s="3" t="s">
        <v>100</v>
      </c>
      <c r="F81" s="3" t="s">
        <v>39</v>
      </c>
      <c r="J81" s="3" t="s">
        <v>97</v>
      </c>
      <c r="K81" s="3" t="s">
        <v>98</v>
      </c>
      <c r="L81" s="3" t="s">
        <v>99</v>
      </c>
      <c r="M81" s="3" t="s">
        <v>100</v>
      </c>
      <c r="N81" s="3" t="s">
        <v>39</v>
      </c>
      <c r="S81" s="3" t="s">
        <v>97</v>
      </c>
      <c r="T81" s="3" t="s">
        <v>98</v>
      </c>
      <c r="U81" s="3" t="s">
        <v>99</v>
      </c>
      <c r="V81" s="3" t="s">
        <v>100</v>
      </c>
      <c r="W81" s="3" t="s">
        <v>39</v>
      </c>
    </row>
    <row r="82" spans="2:25" x14ac:dyDescent="0.2">
      <c r="B82" t="s">
        <v>101</v>
      </c>
      <c r="C82">
        <v>3</v>
      </c>
      <c r="D82">
        <v>153.32774688797005</v>
      </c>
      <c r="E82">
        <v>51.109248962656686</v>
      </c>
      <c r="F82">
        <v>26.814421968938415</v>
      </c>
      <c r="J82" t="s">
        <v>101</v>
      </c>
      <c r="K82">
        <v>3</v>
      </c>
      <c r="L82">
        <v>215.05262145262142</v>
      </c>
      <c r="M82">
        <v>71.684207150873803</v>
      </c>
      <c r="N82">
        <v>190.14891082041504</v>
      </c>
      <c r="S82" t="s">
        <v>101</v>
      </c>
      <c r="T82">
        <v>3</v>
      </c>
      <c r="U82">
        <v>142.99075378931116</v>
      </c>
      <c r="V82">
        <v>47.663584596437055</v>
      </c>
      <c r="W82">
        <v>2.1052020779450116</v>
      </c>
    </row>
    <row r="83" spans="2:25" ht="16" thickBot="1" x14ac:dyDescent="0.25">
      <c r="B83" s="4" t="s">
        <v>102</v>
      </c>
      <c r="C83" s="4">
        <v>3</v>
      </c>
      <c r="D83" s="4">
        <v>130.10996696098633</v>
      </c>
      <c r="E83" s="4">
        <v>43.369988986995445</v>
      </c>
      <c r="F83" s="4">
        <v>9.2051659793892462</v>
      </c>
      <c r="J83" s="4" t="s">
        <v>102</v>
      </c>
      <c r="K83" s="4">
        <v>3</v>
      </c>
      <c r="L83" s="4">
        <v>130.10996696098633</v>
      </c>
      <c r="M83" s="4">
        <v>43.369988986995445</v>
      </c>
      <c r="N83" s="4">
        <v>9.2051659793892462</v>
      </c>
      <c r="S83" s="4" t="s">
        <v>102</v>
      </c>
      <c r="T83" s="4">
        <v>3</v>
      </c>
      <c r="U83" s="4">
        <v>130.10996696098633</v>
      </c>
      <c r="V83" s="4">
        <v>43.369988986995445</v>
      </c>
      <c r="W83" s="4">
        <v>9.2051659793892462</v>
      </c>
    </row>
    <row r="86" spans="2:25" ht="16" thickBot="1" x14ac:dyDescent="0.25">
      <c r="B86" t="s">
        <v>103</v>
      </c>
      <c r="J86" t="s">
        <v>103</v>
      </c>
      <c r="S86" t="s">
        <v>103</v>
      </c>
    </row>
    <row r="87" spans="2:25" x14ac:dyDescent="0.2">
      <c r="B87" s="3" t="s">
        <v>104</v>
      </c>
      <c r="C87" s="3" t="s">
        <v>105</v>
      </c>
      <c r="D87" s="3" t="s">
        <v>106</v>
      </c>
      <c r="E87" s="3" t="s">
        <v>107</v>
      </c>
      <c r="F87" s="3" t="s">
        <v>49</v>
      </c>
      <c r="G87" s="3" t="s">
        <v>108</v>
      </c>
      <c r="H87" s="3" t="s">
        <v>109</v>
      </c>
      <c r="J87" s="3" t="s">
        <v>104</v>
      </c>
      <c r="K87" s="3" t="s">
        <v>105</v>
      </c>
      <c r="L87" s="3" t="s">
        <v>106</v>
      </c>
      <c r="M87" s="3" t="s">
        <v>107</v>
      </c>
      <c r="N87" s="3" t="s">
        <v>49</v>
      </c>
      <c r="O87" s="3" t="s">
        <v>108</v>
      </c>
      <c r="P87" s="3" t="s">
        <v>109</v>
      </c>
      <c r="S87" s="3" t="s">
        <v>104</v>
      </c>
      <c r="T87" s="3" t="s">
        <v>105</v>
      </c>
      <c r="U87" s="3" t="s">
        <v>106</v>
      </c>
      <c r="V87" s="3" t="s">
        <v>107</v>
      </c>
      <c r="W87" s="3" t="s">
        <v>49</v>
      </c>
      <c r="X87" s="3" t="s">
        <v>108</v>
      </c>
      <c r="Y87" s="3" t="s">
        <v>109</v>
      </c>
    </row>
    <row r="88" spans="2:25" x14ac:dyDescent="0.2">
      <c r="B88" t="s">
        <v>110</v>
      </c>
      <c r="C88">
        <v>89.844217456308016</v>
      </c>
      <c r="D88">
        <v>1</v>
      </c>
      <c r="E88">
        <v>89.844217456308016</v>
      </c>
      <c r="F88">
        <v>4.9886310518152026</v>
      </c>
      <c r="G88">
        <v>8.9260961656215748E-2</v>
      </c>
      <c r="H88">
        <v>7.708647422176786</v>
      </c>
      <c r="J88" t="s">
        <v>110</v>
      </c>
      <c r="K88">
        <v>1202.5424253475496</v>
      </c>
      <c r="L88">
        <v>1</v>
      </c>
      <c r="M88">
        <v>1202.5424253475496</v>
      </c>
      <c r="N88">
        <v>12.064387592686968</v>
      </c>
      <c r="O88">
        <v>2.5504983219584495E-2</v>
      </c>
      <c r="P88">
        <v>7.708647422176786</v>
      </c>
      <c r="S88" t="s">
        <v>110</v>
      </c>
      <c r="T88">
        <v>27.652444886124371</v>
      </c>
      <c r="U88">
        <v>1</v>
      </c>
      <c r="V88">
        <v>27.652444886124371</v>
      </c>
      <c r="W88">
        <v>4.8897515529024753</v>
      </c>
      <c r="X88">
        <v>9.1495813983578478E-2</v>
      </c>
      <c r="Y88">
        <v>7.708647422176786</v>
      </c>
    </row>
    <row r="89" spans="2:25" x14ac:dyDescent="0.2">
      <c r="B89" t="s">
        <v>111</v>
      </c>
      <c r="C89">
        <v>72.039175896655323</v>
      </c>
      <c r="D89">
        <v>4</v>
      </c>
      <c r="E89">
        <v>18.009793974163831</v>
      </c>
      <c r="J89" t="s">
        <v>111</v>
      </c>
      <c r="K89">
        <v>398.70815359960449</v>
      </c>
      <c r="L89">
        <v>4</v>
      </c>
      <c r="M89">
        <v>99.677038399901122</v>
      </c>
      <c r="S89" t="s">
        <v>111</v>
      </c>
      <c r="T89">
        <v>22.620736114668517</v>
      </c>
      <c r="U89">
        <v>4</v>
      </c>
      <c r="V89">
        <v>5.6551840286671293</v>
      </c>
    </row>
    <row r="91" spans="2:25" ht="16" thickBot="1" x14ac:dyDescent="0.25">
      <c r="B91" s="4" t="s">
        <v>55</v>
      </c>
      <c r="C91" s="4">
        <v>161.88339335296334</v>
      </c>
      <c r="D91" s="4">
        <v>5</v>
      </c>
      <c r="E91" s="4"/>
      <c r="F91" s="4"/>
      <c r="G91" s="4"/>
      <c r="H91" s="4"/>
      <c r="J91" s="4" t="s">
        <v>55</v>
      </c>
      <c r="K91" s="4">
        <v>1601.2505789471541</v>
      </c>
      <c r="L91" s="4">
        <v>5</v>
      </c>
      <c r="M91" s="4"/>
      <c r="N91" s="4"/>
      <c r="O91" s="4"/>
      <c r="P91" s="4"/>
      <c r="S91" s="4" t="s">
        <v>55</v>
      </c>
      <c r="T91" s="4">
        <v>50.273181000792889</v>
      </c>
      <c r="U91" s="4">
        <v>5</v>
      </c>
      <c r="V91" s="4"/>
      <c r="W91" s="4"/>
      <c r="X91" s="4"/>
      <c r="Y91" s="4"/>
    </row>
  </sheetData>
  <mergeCells count="26">
    <mergeCell ref="X47:Y47"/>
    <mergeCell ref="E78:F78"/>
    <mergeCell ref="L62:M62"/>
    <mergeCell ref="U62:V62"/>
    <mergeCell ref="M78:N78"/>
    <mergeCell ref="V78:W78"/>
    <mergeCell ref="D46:E46"/>
    <mergeCell ref="L46:M46"/>
    <mergeCell ref="T46:U46"/>
    <mergeCell ref="E62:F62"/>
    <mergeCell ref="A23:E23"/>
    <mergeCell ref="G23:K23"/>
    <mergeCell ref="M23:Q23"/>
    <mergeCell ref="A34:E34"/>
    <mergeCell ref="G34:K34"/>
    <mergeCell ref="M34:Q34"/>
    <mergeCell ref="S34:T34"/>
    <mergeCell ref="S23:T23"/>
    <mergeCell ref="S1:T1"/>
    <mergeCell ref="S12:T12"/>
    <mergeCell ref="A1:E1"/>
    <mergeCell ref="G1:K1"/>
    <mergeCell ref="M1:Q1"/>
    <mergeCell ref="A12:E12"/>
    <mergeCell ref="G12:K12"/>
    <mergeCell ref="M12:Q1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79FD-ADBF-CC4F-97D0-2FDB5C066D28}">
  <sheetPr>
    <tabColor rgb="FF00B050"/>
  </sheetPr>
  <dimension ref="A1:R62"/>
  <sheetViews>
    <sheetView topLeftCell="A34" workbookViewId="0">
      <selection activeCell="K51" sqref="K51:L52"/>
    </sheetView>
  </sheetViews>
  <sheetFormatPr baseColWidth="10" defaultRowHeight="15" x14ac:dyDescent="0.2"/>
  <sheetData>
    <row r="1" spans="1:18" x14ac:dyDescent="0.2">
      <c r="B1" s="146" t="s">
        <v>251</v>
      </c>
      <c r="C1" s="146"/>
      <c r="G1" s="146" t="s">
        <v>336</v>
      </c>
      <c r="H1" s="146"/>
      <c r="K1" t="s">
        <v>31</v>
      </c>
      <c r="N1" s="110" t="s">
        <v>341</v>
      </c>
      <c r="O1" s="110"/>
    </row>
    <row r="3" spans="1:18" ht="16" thickBot="1" x14ac:dyDescent="0.25">
      <c r="A3" t="s">
        <v>29</v>
      </c>
      <c r="B3" t="s">
        <v>161</v>
      </c>
      <c r="C3" t="s">
        <v>254</v>
      </c>
      <c r="D3" t="s">
        <v>55</v>
      </c>
      <c r="F3" t="s">
        <v>29</v>
      </c>
      <c r="G3" t="s">
        <v>161</v>
      </c>
      <c r="H3" t="s">
        <v>254</v>
      </c>
      <c r="I3" t="s">
        <v>55</v>
      </c>
      <c r="K3" t="s">
        <v>34</v>
      </c>
    </row>
    <row r="4" spans="1:18" x14ac:dyDescent="0.2">
      <c r="B4">
        <v>91</v>
      </c>
      <c r="C4">
        <v>71</v>
      </c>
      <c r="D4">
        <f>B4+C4</f>
        <v>162</v>
      </c>
      <c r="G4">
        <v>64</v>
      </c>
      <c r="H4">
        <v>78</v>
      </c>
      <c r="I4">
        <f>G4+H4</f>
        <v>142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</row>
    <row r="5" spans="1:18" x14ac:dyDescent="0.2">
      <c r="A5" t="s">
        <v>156</v>
      </c>
      <c r="B5">
        <f>(B4/D4)*100</f>
        <v>56.172839506172842</v>
      </c>
      <c r="C5">
        <f>(C4/D4)*100</f>
        <v>43.827160493827158</v>
      </c>
      <c r="F5" t="s">
        <v>156</v>
      </c>
      <c r="G5">
        <f>(G4/I4)*100</f>
        <v>45.070422535211272</v>
      </c>
      <c r="H5">
        <f>(H4/I4)*100</f>
        <v>54.929577464788736</v>
      </c>
      <c r="K5" t="s">
        <v>41</v>
      </c>
      <c r="L5">
        <v>3</v>
      </c>
      <c r="M5">
        <v>154.94734931009441</v>
      </c>
      <c r="N5">
        <v>51.649116436698137</v>
      </c>
      <c r="O5">
        <v>17.165262534001304</v>
      </c>
    </row>
    <row r="7" spans="1:18" ht="16" thickBot="1" x14ac:dyDescent="0.25">
      <c r="K7" s="4" t="s">
        <v>42</v>
      </c>
      <c r="L7" s="4">
        <v>3</v>
      </c>
      <c r="M7" s="4">
        <v>93.985624979825488</v>
      </c>
      <c r="N7" s="4">
        <v>31.32854165994183</v>
      </c>
      <c r="O7" s="4">
        <v>141.63718569896014</v>
      </c>
    </row>
    <row r="8" spans="1:18" x14ac:dyDescent="0.2">
      <c r="A8" t="s">
        <v>28</v>
      </c>
      <c r="B8" t="s">
        <v>161</v>
      </c>
      <c r="C8" t="s">
        <v>254</v>
      </c>
      <c r="D8" t="s">
        <v>55</v>
      </c>
      <c r="F8" t="s">
        <v>28</v>
      </c>
      <c r="G8" t="s">
        <v>161</v>
      </c>
      <c r="H8" t="s">
        <v>254</v>
      </c>
      <c r="I8" t="s">
        <v>55</v>
      </c>
    </row>
    <row r="9" spans="1:18" x14ac:dyDescent="0.2">
      <c r="B9">
        <v>88</v>
      </c>
      <c r="C9">
        <v>52</v>
      </c>
      <c r="D9">
        <f>(B9+C9)</f>
        <v>140</v>
      </c>
      <c r="G9">
        <v>72</v>
      </c>
      <c r="H9">
        <v>80</v>
      </c>
      <c r="I9">
        <f>(G9+H9)</f>
        <v>152</v>
      </c>
    </row>
    <row r="10" spans="1:18" ht="16" thickBot="1" x14ac:dyDescent="0.25">
      <c r="A10" t="s">
        <v>156</v>
      </c>
      <c r="B10">
        <f>(B9/D9)*100</f>
        <v>62.857142857142854</v>
      </c>
      <c r="C10">
        <f>(C9/D9)*100</f>
        <v>37.142857142857146</v>
      </c>
      <c r="F10" t="s">
        <v>156</v>
      </c>
      <c r="G10">
        <f>(G9/I9)*100</f>
        <v>47.368421052631575</v>
      </c>
      <c r="H10">
        <f>(H9/I9)*100</f>
        <v>52.631578947368418</v>
      </c>
      <c r="K10" t="s">
        <v>44</v>
      </c>
    </row>
    <row r="11" spans="1:18" x14ac:dyDescent="0.2">
      <c r="K11" s="3" t="s">
        <v>45</v>
      </c>
      <c r="L11" s="3" t="s">
        <v>46</v>
      </c>
      <c r="M11" s="3" t="s">
        <v>47</v>
      </c>
      <c r="N11" s="3" t="s">
        <v>48</v>
      </c>
      <c r="O11" s="3" t="s">
        <v>49</v>
      </c>
      <c r="P11" s="3" t="s">
        <v>50</v>
      </c>
      <c r="Q11" s="3"/>
      <c r="R11" s="3" t="s">
        <v>51</v>
      </c>
    </row>
    <row r="12" spans="1:18" x14ac:dyDescent="0.2">
      <c r="A12" t="s">
        <v>30</v>
      </c>
      <c r="B12" t="s">
        <v>161</v>
      </c>
      <c r="C12" t="s">
        <v>254</v>
      </c>
      <c r="D12" t="s">
        <v>55</v>
      </c>
      <c r="F12" t="s">
        <v>30</v>
      </c>
      <c r="G12" t="s">
        <v>161</v>
      </c>
      <c r="H12" t="s">
        <v>254</v>
      </c>
      <c r="I12" t="s">
        <v>55</v>
      </c>
      <c r="K12" t="s">
        <v>52</v>
      </c>
      <c r="L12">
        <v>619.38863888661717</v>
      </c>
      <c r="M12">
        <v>1</v>
      </c>
      <c r="N12">
        <v>619.38863888661717</v>
      </c>
      <c r="O12">
        <v>7.8007442048749889</v>
      </c>
      <c r="P12">
        <v>4.9162218670811594E-2</v>
      </c>
      <c r="R12">
        <v>7.708647422176786</v>
      </c>
    </row>
    <row r="13" spans="1:18" x14ac:dyDescent="0.2">
      <c r="B13">
        <v>48</v>
      </c>
      <c r="C13">
        <v>53</v>
      </c>
      <c r="D13">
        <f>(B13+C13)</f>
        <v>101</v>
      </c>
      <c r="G13">
        <v>64</v>
      </c>
      <c r="H13">
        <v>94</v>
      </c>
      <c r="I13">
        <f>(G13+H13)</f>
        <v>158</v>
      </c>
      <c r="K13" t="s">
        <v>53</v>
      </c>
      <c r="L13">
        <v>317.60489646592288</v>
      </c>
      <c r="M13">
        <v>4</v>
      </c>
      <c r="N13">
        <v>79.401224116480719</v>
      </c>
    </row>
    <row r="14" spans="1:18" x14ac:dyDescent="0.2">
      <c r="A14" t="s">
        <v>156</v>
      </c>
      <c r="B14">
        <f>(B13/D13)*100</f>
        <v>47.524752475247524</v>
      </c>
      <c r="C14">
        <f>(C13/D13)*100</f>
        <v>52.475247524752476</v>
      </c>
      <c r="F14" t="s">
        <v>156</v>
      </c>
      <c r="G14">
        <f>(G13/I13)*100</f>
        <v>40.506329113924053</v>
      </c>
      <c r="H14">
        <f>(H13/I13)*100</f>
        <v>59.493670886075947</v>
      </c>
    </row>
    <row r="15" spans="1:18" ht="16" thickBot="1" x14ac:dyDescent="0.25">
      <c r="K15" s="4" t="s">
        <v>55</v>
      </c>
      <c r="L15" s="4">
        <v>936.99353535253999</v>
      </c>
      <c r="M15" s="4">
        <v>5</v>
      </c>
      <c r="N15" s="4"/>
      <c r="O15" s="4"/>
      <c r="P15" s="4"/>
      <c r="Q15" s="4"/>
      <c r="R15" s="4"/>
    </row>
    <row r="16" spans="1:18" ht="16" thickBot="1" x14ac:dyDescent="0.25">
      <c r="B16" s="146" t="s">
        <v>255</v>
      </c>
      <c r="C16" s="146"/>
      <c r="G16" s="146" t="s">
        <v>337</v>
      </c>
      <c r="H16" s="146"/>
      <c r="K16" s="4"/>
      <c r="L16" s="4"/>
      <c r="M16" s="4"/>
      <c r="N16" s="4"/>
      <c r="O16" s="4"/>
      <c r="P16" s="4"/>
      <c r="Q16" s="4"/>
      <c r="R16" s="4"/>
    </row>
    <row r="18" spans="1:17" x14ac:dyDescent="0.2">
      <c r="A18" t="s">
        <v>29</v>
      </c>
      <c r="B18" t="s">
        <v>161</v>
      </c>
      <c r="C18" t="s">
        <v>254</v>
      </c>
      <c r="D18" t="s">
        <v>55</v>
      </c>
      <c r="F18" t="s">
        <v>29</v>
      </c>
      <c r="G18" t="s">
        <v>161</v>
      </c>
      <c r="H18" t="s">
        <v>254</v>
      </c>
      <c r="I18" t="s">
        <v>55</v>
      </c>
      <c r="K18" t="s">
        <v>31</v>
      </c>
      <c r="N18" s="110" t="s">
        <v>342</v>
      </c>
      <c r="O18" s="110"/>
    </row>
    <row r="19" spans="1:17" x14ac:dyDescent="0.2">
      <c r="B19">
        <v>49</v>
      </c>
      <c r="C19">
        <v>53</v>
      </c>
      <c r="D19">
        <f>B19+C19</f>
        <v>102</v>
      </c>
      <c r="G19">
        <v>27</v>
      </c>
      <c r="H19">
        <v>83</v>
      </c>
      <c r="I19">
        <f>G19+H19</f>
        <v>110</v>
      </c>
    </row>
    <row r="20" spans="1:17" ht="16" thickBot="1" x14ac:dyDescent="0.25">
      <c r="A20" t="s">
        <v>156</v>
      </c>
      <c r="B20">
        <f>(B19/D19)*100</f>
        <v>48.03921568627451</v>
      </c>
      <c r="C20">
        <f>(C19/D19)*100</f>
        <v>51.960784313725497</v>
      </c>
      <c r="F20" t="s">
        <v>156</v>
      </c>
      <c r="G20">
        <f>(G19/I19)*100</f>
        <v>24.545454545454547</v>
      </c>
      <c r="H20">
        <f>(H19/I19)*100</f>
        <v>75.454545454545453</v>
      </c>
      <c r="K20" t="s">
        <v>34</v>
      </c>
    </row>
    <row r="21" spans="1:17" x14ac:dyDescent="0.2">
      <c r="K21" s="3" t="s">
        <v>35</v>
      </c>
      <c r="L21" s="3" t="s">
        <v>36</v>
      </c>
      <c r="M21" s="3" t="s">
        <v>37</v>
      </c>
      <c r="N21" s="3" t="s">
        <v>38</v>
      </c>
      <c r="O21" s="3" t="s">
        <v>39</v>
      </c>
    </row>
    <row r="22" spans="1:17" x14ac:dyDescent="0.2">
      <c r="A22" t="s">
        <v>28</v>
      </c>
      <c r="B22" t="s">
        <v>161</v>
      </c>
      <c r="C22" t="s">
        <v>254</v>
      </c>
      <c r="D22" t="s">
        <v>55</v>
      </c>
      <c r="F22" t="s">
        <v>28</v>
      </c>
      <c r="G22" t="s">
        <v>161</v>
      </c>
      <c r="H22" t="s">
        <v>254</v>
      </c>
      <c r="I22" t="s">
        <v>55</v>
      </c>
      <c r="K22" t="s">
        <v>41</v>
      </c>
      <c r="L22">
        <v>3</v>
      </c>
      <c r="M22">
        <v>151.54436031838478</v>
      </c>
      <c r="N22">
        <v>50.514786772794928</v>
      </c>
      <c r="O22">
        <v>15.646501412848735</v>
      </c>
    </row>
    <row r="23" spans="1:17" ht="16" thickBot="1" x14ac:dyDescent="0.25">
      <c r="B23">
        <v>54</v>
      </c>
      <c r="C23">
        <v>60</v>
      </c>
      <c r="D23">
        <f>(B23+C23)</f>
        <v>114</v>
      </c>
      <c r="G23">
        <v>38</v>
      </c>
      <c r="H23">
        <v>67</v>
      </c>
      <c r="I23">
        <f>(G23+H23)</f>
        <v>105</v>
      </c>
      <c r="K23" s="4" t="s">
        <v>42</v>
      </c>
      <c r="L23" s="4">
        <v>3</v>
      </c>
      <c r="M23" s="4">
        <v>98.873056497044871</v>
      </c>
      <c r="N23" s="4">
        <v>32.957685499014957</v>
      </c>
      <c r="O23" s="4">
        <v>102.05550489661118</v>
      </c>
    </row>
    <row r="24" spans="1:17" x14ac:dyDescent="0.2">
      <c r="A24" t="s">
        <v>156</v>
      </c>
      <c r="B24">
        <f>(B23/D23)*100</f>
        <v>47.368421052631575</v>
      </c>
      <c r="C24">
        <f>(C23/D23)*100</f>
        <v>52.631578947368418</v>
      </c>
      <c r="F24" t="s">
        <v>156</v>
      </c>
      <c r="G24">
        <f>(G23/I23)*100</f>
        <v>36.19047619047619</v>
      </c>
      <c r="H24">
        <f>(H23/I23)*100</f>
        <v>63.809523809523803</v>
      </c>
    </row>
    <row r="26" spans="1:17" ht="16" thickBot="1" x14ac:dyDescent="0.25">
      <c r="A26" t="s">
        <v>30</v>
      </c>
      <c r="B26" t="s">
        <v>161</v>
      </c>
      <c r="C26" t="s">
        <v>254</v>
      </c>
      <c r="D26" t="s">
        <v>55</v>
      </c>
      <c r="F26" t="s">
        <v>30</v>
      </c>
      <c r="G26" t="s">
        <v>161</v>
      </c>
      <c r="H26" t="s">
        <v>254</v>
      </c>
      <c r="I26" t="s">
        <v>55</v>
      </c>
      <c r="K26" t="s">
        <v>44</v>
      </c>
    </row>
    <row r="27" spans="1:17" x14ac:dyDescent="0.2">
      <c r="B27">
        <v>50</v>
      </c>
      <c r="C27">
        <v>52</v>
      </c>
      <c r="D27">
        <f>(B27+C27)</f>
        <v>102</v>
      </c>
      <c r="G27">
        <v>29</v>
      </c>
      <c r="H27">
        <v>106</v>
      </c>
      <c r="I27">
        <f>(G27+H27)</f>
        <v>135</v>
      </c>
      <c r="K27" s="3" t="s">
        <v>45</v>
      </c>
      <c r="L27" s="3" t="s">
        <v>46</v>
      </c>
      <c r="M27" s="3" t="s">
        <v>47</v>
      </c>
      <c r="N27" s="3" t="s">
        <v>48</v>
      </c>
      <c r="O27" s="3" t="s">
        <v>49</v>
      </c>
      <c r="P27" s="3" t="s">
        <v>50</v>
      </c>
      <c r="Q27" s="3" t="s">
        <v>51</v>
      </c>
    </row>
    <row r="28" spans="1:17" x14ac:dyDescent="0.2">
      <c r="A28" t="s">
        <v>156</v>
      </c>
      <c r="B28">
        <f>(B27/D27)*100</f>
        <v>49.019607843137251</v>
      </c>
      <c r="C28">
        <f>(C27/D27)*100</f>
        <v>50.980392156862742</v>
      </c>
      <c r="F28" t="s">
        <v>156</v>
      </c>
      <c r="G28">
        <f>(G27/I27)*100</f>
        <v>21.481481481481481</v>
      </c>
      <c r="H28">
        <f>(H27/I27)*100</f>
        <v>78.518518518518519</v>
      </c>
      <c r="K28" t="s">
        <v>52</v>
      </c>
      <c r="L28">
        <v>462.37770770664918</v>
      </c>
      <c r="M28">
        <v>1</v>
      </c>
      <c r="N28">
        <v>462.37770770664918</v>
      </c>
      <c r="O28">
        <v>7.8567515066986076</v>
      </c>
      <c r="P28">
        <v>4.86630600399603E-2</v>
      </c>
      <c r="Q28">
        <v>7.708647422176786</v>
      </c>
    </row>
    <row r="29" spans="1:17" x14ac:dyDescent="0.2">
      <c r="K29" t="s">
        <v>53</v>
      </c>
      <c r="L29">
        <v>235.40401261891986</v>
      </c>
      <c r="M29">
        <v>4</v>
      </c>
      <c r="N29">
        <v>58.851003154729966</v>
      </c>
    </row>
    <row r="30" spans="1:17" x14ac:dyDescent="0.2">
      <c r="B30" s="146" t="s">
        <v>258</v>
      </c>
      <c r="C30" s="146"/>
      <c r="G30" s="146" t="s">
        <v>338</v>
      </c>
      <c r="H30" s="146"/>
    </row>
    <row r="31" spans="1:17" ht="16" thickBot="1" x14ac:dyDescent="0.25">
      <c r="K31" s="4" t="s">
        <v>55</v>
      </c>
      <c r="L31" s="4">
        <v>697.78172032556904</v>
      </c>
      <c r="M31" s="4">
        <v>5</v>
      </c>
      <c r="N31" s="4"/>
      <c r="O31" s="4"/>
      <c r="P31" s="4"/>
      <c r="Q31" s="4"/>
    </row>
    <row r="32" spans="1:17" x14ac:dyDescent="0.2">
      <c r="A32" t="s">
        <v>29</v>
      </c>
      <c r="B32" t="s">
        <v>161</v>
      </c>
      <c r="C32" t="s">
        <v>254</v>
      </c>
      <c r="D32" t="s">
        <v>55</v>
      </c>
      <c r="F32" t="s">
        <v>29</v>
      </c>
      <c r="G32" t="s">
        <v>161</v>
      </c>
      <c r="H32" t="s">
        <v>254</v>
      </c>
      <c r="I32" t="s">
        <v>55</v>
      </c>
    </row>
    <row r="33" spans="1:17" x14ac:dyDescent="0.2">
      <c r="B33">
        <v>69</v>
      </c>
      <c r="C33">
        <v>67</v>
      </c>
      <c r="D33">
        <f>B33+C33</f>
        <v>136</v>
      </c>
      <c r="G33">
        <v>29</v>
      </c>
      <c r="H33">
        <v>90</v>
      </c>
      <c r="I33">
        <f>G33+H33</f>
        <v>119</v>
      </c>
    </row>
    <row r="34" spans="1:17" x14ac:dyDescent="0.2">
      <c r="A34" t="s">
        <v>156</v>
      </c>
      <c r="B34">
        <f>(B33/D33)*100</f>
        <v>50.735294117647058</v>
      </c>
      <c r="C34">
        <f>(C33/D33)*100</f>
        <v>49.264705882352942</v>
      </c>
      <c r="F34" t="s">
        <v>156</v>
      </c>
      <c r="G34">
        <f>(G33/I33)*100</f>
        <v>24.369747899159663</v>
      </c>
      <c r="H34">
        <f>(H33/I33)*100</f>
        <v>75.630252100840337</v>
      </c>
      <c r="K34" t="s">
        <v>31</v>
      </c>
      <c r="N34" s="110" t="s">
        <v>343</v>
      </c>
      <c r="O34" s="110"/>
    </row>
    <row r="36" spans="1:17" ht="16" thickBot="1" x14ac:dyDescent="0.25">
      <c r="A36" t="s">
        <v>28</v>
      </c>
      <c r="B36" t="s">
        <v>161</v>
      </c>
      <c r="C36" t="s">
        <v>254</v>
      </c>
      <c r="D36" t="s">
        <v>55</v>
      </c>
      <c r="F36" t="s">
        <v>28</v>
      </c>
      <c r="G36" t="s">
        <v>161</v>
      </c>
      <c r="H36" t="s">
        <v>254</v>
      </c>
      <c r="I36" t="s">
        <v>55</v>
      </c>
      <c r="K36" t="s">
        <v>34</v>
      </c>
    </row>
    <row r="37" spans="1:17" x14ac:dyDescent="0.2">
      <c r="B37">
        <v>74</v>
      </c>
      <c r="C37">
        <v>46</v>
      </c>
      <c r="D37">
        <f>(B37+C37)</f>
        <v>120</v>
      </c>
      <c r="G37">
        <v>29</v>
      </c>
      <c r="H37">
        <v>85</v>
      </c>
      <c r="I37">
        <f>(G37+H37)</f>
        <v>114</v>
      </c>
      <c r="K37" s="3" t="s">
        <v>35</v>
      </c>
      <c r="L37" s="3" t="s">
        <v>36</v>
      </c>
      <c r="M37" s="3" t="s">
        <v>37</v>
      </c>
      <c r="N37" s="3" t="s">
        <v>38</v>
      </c>
      <c r="O37" s="3" t="s">
        <v>39</v>
      </c>
    </row>
    <row r="38" spans="1:17" x14ac:dyDescent="0.2">
      <c r="A38" t="s">
        <v>156</v>
      </c>
      <c r="B38">
        <f>(B37/D37)*100</f>
        <v>61.666666666666671</v>
      </c>
      <c r="C38">
        <f>(C37/D37)*100</f>
        <v>38.333333333333336</v>
      </c>
      <c r="F38" t="s">
        <v>156</v>
      </c>
      <c r="G38">
        <f>(G37/I37)*100</f>
        <v>25.438596491228072</v>
      </c>
      <c r="H38">
        <f>(H37/I37)*100</f>
        <v>74.561403508771932</v>
      </c>
      <c r="K38" t="s">
        <v>41</v>
      </c>
      <c r="L38">
        <v>3</v>
      </c>
      <c r="M38">
        <v>171.89223057644108</v>
      </c>
      <c r="N38">
        <v>57.297410192147026</v>
      </c>
      <c r="O38">
        <v>74.292927389486067</v>
      </c>
    </row>
    <row r="39" spans="1:17" ht="16" thickBot="1" x14ac:dyDescent="0.25">
      <c r="K39" s="4" t="s">
        <v>42</v>
      </c>
      <c r="L39" s="4">
        <v>3</v>
      </c>
      <c r="M39" s="4">
        <v>108.99749373433583</v>
      </c>
      <c r="N39" s="4">
        <v>36.33249791144528</v>
      </c>
      <c r="O39" s="4">
        <v>120.24442895040443</v>
      </c>
    </row>
    <row r="40" spans="1:17" x14ac:dyDescent="0.2">
      <c r="A40" t="s">
        <v>30</v>
      </c>
      <c r="B40" t="s">
        <v>161</v>
      </c>
      <c r="C40" t="s">
        <v>254</v>
      </c>
      <c r="D40" t="s">
        <v>55</v>
      </c>
      <c r="F40" t="s">
        <v>30</v>
      </c>
      <c r="G40" t="s">
        <v>161</v>
      </c>
      <c r="H40" t="s">
        <v>254</v>
      </c>
      <c r="I40" t="s">
        <v>55</v>
      </c>
    </row>
    <row r="41" spans="1:17" x14ac:dyDescent="0.2">
      <c r="B41">
        <v>66</v>
      </c>
      <c r="C41">
        <v>54</v>
      </c>
      <c r="D41">
        <f>(B41+C41)</f>
        <v>120</v>
      </c>
      <c r="G41">
        <v>45</v>
      </c>
      <c r="H41">
        <v>77</v>
      </c>
      <c r="I41">
        <f>(G41+H41)</f>
        <v>122</v>
      </c>
    </row>
    <row r="42" spans="1:17" ht="16" thickBot="1" x14ac:dyDescent="0.25">
      <c r="A42" t="s">
        <v>156</v>
      </c>
      <c r="B42">
        <f>(B41/D41)*100</f>
        <v>55.000000000000007</v>
      </c>
      <c r="C42">
        <f>(C41/D41)*100</f>
        <v>45</v>
      </c>
      <c r="F42" t="s">
        <v>156</v>
      </c>
      <c r="G42">
        <f>(G41/I41)*100</f>
        <v>36.885245901639344</v>
      </c>
      <c r="H42">
        <f>(H41/I41)*100</f>
        <v>63.114754098360656</v>
      </c>
      <c r="K42" t="s">
        <v>44</v>
      </c>
    </row>
    <row r="43" spans="1:17" x14ac:dyDescent="0.2">
      <c r="K43" s="3" t="s">
        <v>45</v>
      </c>
      <c r="L43" s="3" t="s">
        <v>46</v>
      </c>
      <c r="M43" s="3" t="s">
        <v>47</v>
      </c>
      <c r="N43" s="3" t="s">
        <v>48</v>
      </c>
      <c r="O43" s="3" t="s">
        <v>49</v>
      </c>
      <c r="P43" s="3" t="s">
        <v>50</v>
      </c>
      <c r="Q43" s="3" t="s">
        <v>51</v>
      </c>
    </row>
    <row r="44" spans="1:17" x14ac:dyDescent="0.2">
      <c r="B44" s="146" t="s">
        <v>340</v>
      </c>
      <c r="C44" s="146"/>
      <c r="G44" s="146" t="s">
        <v>339</v>
      </c>
      <c r="H44" s="146"/>
      <c r="K44" t="s">
        <v>52</v>
      </c>
      <c r="L44">
        <v>659.29132040627894</v>
      </c>
      <c r="M44">
        <v>1</v>
      </c>
      <c r="N44">
        <v>659.29132040627894</v>
      </c>
      <c r="O44">
        <v>6.7780433826230055</v>
      </c>
      <c r="P44">
        <v>5.982945827424372E-2</v>
      </c>
      <c r="Q44">
        <v>7.708647422176786</v>
      </c>
    </row>
    <row r="45" spans="1:17" x14ac:dyDescent="0.2">
      <c r="K45" t="s">
        <v>53</v>
      </c>
      <c r="L45">
        <v>389.07471267977792</v>
      </c>
      <c r="M45">
        <v>4</v>
      </c>
      <c r="N45">
        <v>97.268678169944479</v>
      </c>
    </row>
    <row r="46" spans="1:17" x14ac:dyDescent="0.2">
      <c r="A46" t="s">
        <v>29</v>
      </c>
      <c r="B46" t="s">
        <v>161</v>
      </c>
      <c r="C46" t="s">
        <v>254</v>
      </c>
      <c r="D46" t="s">
        <v>55</v>
      </c>
      <c r="F46" t="s">
        <v>29</v>
      </c>
      <c r="G46" t="s">
        <v>161</v>
      </c>
      <c r="H46" t="s">
        <v>254</v>
      </c>
      <c r="I46" t="s">
        <v>55</v>
      </c>
    </row>
    <row r="47" spans="1:17" ht="16" thickBot="1" x14ac:dyDescent="0.25">
      <c r="B47">
        <f>AVERAGE(B33,B19,B4)</f>
        <v>69.666666666666671</v>
      </c>
      <c r="C47">
        <f>AVERAGE(C33,C19,C4)</f>
        <v>63.666666666666664</v>
      </c>
      <c r="D47">
        <f>B47+C47</f>
        <v>133.33333333333334</v>
      </c>
      <c r="G47">
        <f>AVERAGE(G33,G19,G4)</f>
        <v>40</v>
      </c>
      <c r="H47">
        <f>AVERAGE(H33,H19,H4)</f>
        <v>83.666666666666671</v>
      </c>
      <c r="I47">
        <f>G47+H47</f>
        <v>123.66666666666667</v>
      </c>
      <c r="K47" s="4" t="s">
        <v>55</v>
      </c>
      <c r="L47" s="4">
        <v>1048.3660330860569</v>
      </c>
      <c r="M47" s="4">
        <v>5</v>
      </c>
      <c r="N47" s="4"/>
      <c r="O47" s="4"/>
      <c r="P47" s="4"/>
      <c r="Q47" s="4"/>
    </row>
    <row r="48" spans="1:17" x14ac:dyDescent="0.2">
      <c r="A48" t="s">
        <v>156</v>
      </c>
      <c r="B48">
        <f>AVERAGE(B34,B20,B5)</f>
        <v>51.649116436698137</v>
      </c>
      <c r="C48">
        <f>AVERAGE(C34,C20,C5)</f>
        <v>48.350883563301863</v>
      </c>
      <c r="F48" t="s">
        <v>156</v>
      </c>
      <c r="G48">
        <f>AVERAGE(G34,G20,G5)</f>
        <v>31.328541659941823</v>
      </c>
      <c r="H48">
        <f>AVERAGE(H34,H20,H5)</f>
        <v>68.67145834005818</v>
      </c>
    </row>
    <row r="49" spans="1:12" x14ac:dyDescent="0.2">
      <c r="A49" s="14" t="s">
        <v>63</v>
      </c>
      <c r="B49">
        <v>4.1430981805891713</v>
      </c>
      <c r="C49">
        <v>4.1430981805891749</v>
      </c>
      <c r="F49" s="14" t="s">
        <v>63</v>
      </c>
      <c r="G49">
        <v>11.901142201442688</v>
      </c>
      <c r="H49">
        <v>11.901142201442756</v>
      </c>
    </row>
    <row r="50" spans="1:12" x14ac:dyDescent="0.2">
      <c r="A50" s="14" t="s">
        <v>59</v>
      </c>
      <c r="B50">
        <v>2.392018849842207</v>
      </c>
      <c r="C50">
        <v>2.3920188498422088</v>
      </c>
      <c r="F50" s="14" t="s">
        <v>59</v>
      </c>
      <c r="G50">
        <v>6.8711276536669521</v>
      </c>
      <c r="H50">
        <v>6.8711276536669912</v>
      </c>
    </row>
    <row r="51" spans="1:12" x14ac:dyDescent="0.2">
      <c r="K51" s="114" t="s">
        <v>60</v>
      </c>
      <c r="L51" s="114"/>
    </row>
    <row r="52" spans="1:12" x14ac:dyDescent="0.2">
      <c r="A52" t="s">
        <v>28</v>
      </c>
      <c r="B52" t="s">
        <v>161</v>
      </c>
      <c r="C52" t="s">
        <v>254</v>
      </c>
      <c r="D52" t="s">
        <v>55</v>
      </c>
      <c r="F52" t="s">
        <v>28</v>
      </c>
      <c r="G52" t="s">
        <v>161</v>
      </c>
      <c r="H52" t="s">
        <v>254</v>
      </c>
      <c r="I52" t="s">
        <v>55</v>
      </c>
      <c r="K52" s="11" t="s">
        <v>54</v>
      </c>
      <c r="L52" s="12"/>
    </row>
    <row r="53" spans="1:12" x14ac:dyDescent="0.2">
      <c r="B53">
        <f>AVERAGE(B37,B23,B9)</f>
        <v>72</v>
      </c>
      <c r="C53">
        <f>AVERAGE(C37,C23,C9)</f>
        <v>52.666666666666664</v>
      </c>
      <c r="D53">
        <f>(B53+C53)</f>
        <v>124.66666666666666</v>
      </c>
      <c r="G53">
        <f>AVERAGE(G37,G23,G9)</f>
        <v>46.333333333333336</v>
      </c>
      <c r="H53">
        <f>AVERAGE(H37,H23,H9)</f>
        <v>77.333333333333329</v>
      </c>
      <c r="I53">
        <f>(G53+H53)</f>
        <v>123.66666666666666</v>
      </c>
    </row>
    <row r="54" spans="1:12" x14ac:dyDescent="0.2">
      <c r="A54" t="s">
        <v>156</v>
      </c>
      <c r="B54">
        <f>AVERAGE(B38,B24,B10)</f>
        <v>57.297410192147034</v>
      </c>
      <c r="C54">
        <f>AVERAGE(C38,C24,C10)</f>
        <v>42.702589807852966</v>
      </c>
      <c r="F54" t="s">
        <v>156</v>
      </c>
      <c r="G54">
        <f>AVERAGE(G38,G24,G10)</f>
        <v>36.33249791144528</v>
      </c>
      <c r="H54">
        <f>AVERAGE(H38,H24,H10)</f>
        <v>63.66750208855472</v>
      </c>
    </row>
    <row r="55" spans="1:12" x14ac:dyDescent="0.2">
      <c r="A55" s="14" t="s">
        <v>63</v>
      </c>
      <c r="B55">
        <v>8.6193345096640765</v>
      </c>
      <c r="C55">
        <v>8.6193345096639966</v>
      </c>
      <c r="F55" s="14" t="s">
        <v>63</v>
      </c>
      <c r="G55">
        <v>10.965602078791862</v>
      </c>
      <c r="H55">
        <v>10.965602078791873</v>
      </c>
    </row>
    <row r="56" spans="1:12" x14ac:dyDescent="0.2">
      <c r="A56" s="14" t="s">
        <v>59</v>
      </c>
      <c r="B56">
        <v>4.976375099389986</v>
      </c>
      <c r="C56">
        <v>4.9763750993899398</v>
      </c>
      <c r="F56" s="14" t="s">
        <v>59</v>
      </c>
      <c r="G56">
        <v>6.330993312016802</v>
      </c>
      <c r="H56">
        <v>6.3309933120168083</v>
      </c>
    </row>
    <row r="58" spans="1:12" x14ac:dyDescent="0.2">
      <c r="A58" t="s">
        <v>30</v>
      </c>
      <c r="B58" t="s">
        <v>161</v>
      </c>
      <c r="C58" t="s">
        <v>254</v>
      </c>
      <c r="D58" t="s">
        <v>55</v>
      </c>
      <c r="F58" t="s">
        <v>30</v>
      </c>
      <c r="G58" t="s">
        <v>161</v>
      </c>
      <c r="H58" t="s">
        <v>254</v>
      </c>
      <c r="I58" t="s">
        <v>55</v>
      </c>
    </row>
    <row r="59" spans="1:12" x14ac:dyDescent="0.2">
      <c r="B59">
        <f>AVERAGE(B41,B27,B13)</f>
        <v>54.666666666666664</v>
      </c>
      <c r="C59">
        <f>AVERAGE(C41,C27,C13)</f>
        <v>53</v>
      </c>
      <c r="D59">
        <f>(B59+C59)</f>
        <v>107.66666666666666</v>
      </c>
      <c r="G59">
        <f>AVERAGE(G41,G27,G13)</f>
        <v>46</v>
      </c>
      <c r="H59">
        <f>AVERAGE(H41,H27,H13)</f>
        <v>92.333333333333329</v>
      </c>
      <c r="I59">
        <f>(G59+H59)</f>
        <v>138.33333333333331</v>
      </c>
    </row>
    <row r="60" spans="1:12" x14ac:dyDescent="0.2">
      <c r="A60" t="s">
        <v>156</v>
      </c>
      <c r="B60">
        <f>AVERAGE(B42,B28,B14)</f>
        <v>50.514786772794935</v>
      </c>
      <c r="C60">
        <f>AVERAGE(C42,C28,C14)</f>
        <v>49.485213227205065</v>
      </c>
      <c r="F60" t="s">
        <v>156</v>
      </c>
      <c r="G60">
        <f>AVERAGE(G42,G28,G14)</f>
        <v>32.957685499014957</v>
      </c>
      <c r="H60">
        <f>AVERAGE(H42,H28,H14)</f>
        <v>67.042314500985029</v>
      </c>
    </row>
    <row r="61" spans="1:12" x14ac:dyDescent="0.2">
      <c r="A61" s="14" t="s">
        <v>63</v>
      </c>
      <c r="B61">
        <v>3.9555658777030542</v>
      </c>
      <c r="C61">
        <v>3.9555658777030489</v>
      </c>
      <c r="F61" s="14" t="s">
        <v>63</v>
      </c>
      <c r="G61">
        <v>10.102252466485441</v>
      </c>
      <c r="H61">
        <v>10.102252466485419</v>
      </c>
    </row>
    <row r="62" spans="1:12" x14ac:dyDescent="0.2">
      <c r="A62" s="14" t="s">
        <v>59</v>
      </c>
      <c r="B62">
        <v>2.2837470242891569</v>
      </c>
      <c r="C62">
        <v>2.2837470242891538</v>
      </c>
      <c r="F62" s="14" t="s">
        <v>59</v>
      </c>
      <c r="G62">
        <v>5.8325381809469299</v>
      </c>
      <c r="H62">
        <v>5.8325381809469183</v>
      </c>
    </row>
  </sheetData>
  <mergeCells count="12">
    <mergeCell ref="N34:O34"/>
    <mergeCell ref="N18:O18"/>
    <mergeCell ref="N1:O1"/>
    <mergeCell ref="K51:L51"/>
    <mergeCell ref="B44:C44"/>
    <mergeCell ref="G44:H44"/>
    <mergeCell ref="B1:C1"/>
    <mergeCell ref="G1:H1"/>
    <mergeCell ref="B16:C16"/>
    <mergeCell ref="G16:H16"/>
    <mergeCell ref="B30:C30"/>
    <mergeCell ref="G30:H3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2B74-8B8B-7349-AF4A-B2001E2C3859}">
  <sheetPr>
    <tabColor rgb="FF00B050"/>
  </sheetPr>
  <dimension ref="A1:AE62"/>
  <sheetViews>
    <sheetView topLeftCell="J14" workbookViewId="0">
      <selection activeCell="AD28" sqref="AD28"/>
    </sheetView>
  </sheetViews>
  <sheetFormatPr baseColWidth="10" defaultColWidth="8.83203125" defaultRowHeight="15" x14ac:dyDescent="0.2"/>
  <cols>
    <col min="1" max="1" width="5" customWidth="1"/>
    <col min="2" max="2" width="12.33203125" customWidth="1"/>
    <col min="3" max="3" width="13.33203125" customWidth="1"/>
    <col min="4" max="4" width="7.83203125" customWidth="1"/>
    <col min="5" max="5" width="10.33203125" customWidth="1"/>
    <col min="6" max="6" width="4.6640625" customWidth="1"/>
    <col min="7" max="7" width="11.83203125" customWidth="1"/>
    <col min="8" max="8" width="11.33203125" customWidth="1"/>
    <col min="9" max="9" width="6.1640625" customWidth="1"/>
    <col min="11" max="11" width="5.5" customWidth="1"/>
    <col min="12" max="12" width="9.5" customWidth="1"/>
    <col min="13" max="13" width="12.6640625" customWidth="1"/>
    <col min="14" max="14" width="10" customWidth="1"/>
    <col min="15" max="15" width="12.1640625" bestFit="1" customWidth="1"/>
    <col min="16" max="16" width="10.6640625" customWidth="1"/>
    <col min="17" max="17" width="12.1640625" bestFit="1" customWidth="1"/>
    <col min="18" max="18" width="8.1640625" customWidth="1"/>
    <col min="19" max="19" width="10.6640625" customWidth="1"/>
    <col min="20" max="20" width="12.1640625" bestFit="1" customWidth="1"/>
    <col min="23" max="23" width="11.6640625" customWidth="1"/>
    <col min="24" max="24" width="9.33203125" customWidth="1"/>
  </cols>
  <sheetData>
    <row r="1" spans="1:25" x14ac:dyDescent="0.2">
      <c r="A1" s="14" t="s">
        <v>114</v>
      </c>
      <c r="B1" s="145" t="s">
        <v>373</v>
      </c>
      <c r="C1" s="145"/>
      <c r="G1" s="138" t="s">
        <v>374</v>
      </c>
      <c r="H1" s="138"/>
      <c r="L1" s="144" t="s">
        <v>375</v>
      </c>
      <c r="M1" s="144"/>
      <c r="P1" s="147" t="s">
        <v>172</v>
      </c>
      <c r="Q1" s="147"/>
      <c r="R1" s="147"/>
      <c r="S1" s="147"/>
      <c r="T1" s="147"/>
      <c r="U1" s="147"/>
      <c r="V1" s="147"/>
      <c r="W1" s="147"/>
      <c r="X1" s="147"/>
    </row>
    <row r="2" spans="1:25" x14ac:dyDescent="0.2">
      <c r="B2" t="s">
        <v>176</v>
      </c>
      <c r="C2" t="s">
        <v>207</v>
      </c>
      <c r="D2" t="s">
        <v>55</v>
      </c>
      <c r="G2" t="s">
        <v>176</v>
      </c>
      <c r="H2" t="s">
        <v>207</v>
      </c>
      <c r="I2" t="s">
        <v>55</v>
      </c>
      <c r="L2" t="s">
        <v>176</v>
      </c>
      <c r="M2" t="s">
        <v>207</v>
      </c>
      <c r="N2" t="s">
        <v>55</v>
      </c>
      <c r="P2" s="145" t="s">
        <v>373</v>
      </c>
      <c r="Q2" s="145"/>
      <c r="S2" s="138" t="s">
        <v>374</v>
      </c>
      <c r="T2" s="138"/>
      <c r="V2" s="144" t="s">
        <v>375</v>
      </c>
      <c r="W2" s="144"/>
    </row>
    <row r="3" spans="1:25" x14ac:dyDescent="0.2">
      <c r="B3">
        <v>99</v>
      </c>
      <c r="C3">
        <v>104</v>
      </c>
      <c r="D3">
        <f>B3+C3</f>
        <v>203</v>
      </c>
      <c r="G3">
        <v>97</v>
      </c>
      <c r="H3">
        <v>77</v>
      </c>
      <c r="I3">
        <f>G3+H3</f>
        <v>174</v>
      </c>
      <c r="L3">
        <v>92</v>
      </c>
      <c r="M3">
        <v>52</v>
      </c>
      <c r="N3">
        <f>L3+M3</f>
        <v>144</v>
      </c>
      <c r="P3" t="s">
        <v>176</v>
      </c>
      <c r="Q3" t="s">
        <v>207</v>
      </c>
      <c r="S3" t="s">
        <v>176</v>
      </c>
      <c r="T3" t="s">
        <v>207</v>
      </c>
      <c r="V3" t="s">
        <v>176</v>
      </c>
      <c r="W3" t="s">
        <v>207</v>
      </c>
    </row>
    <row r="4" spans="1:25" x14ac:dyDescent="0.2">
      <c r="A4" t="s">
        <v>156</v>
      </c>
      <c r="B4">
        <f>(B3/D3)*100</f>
        <v>48.768472906403943</v>
      </c>
      <c r="C4">
        <f>(C3/D3)*100</f>
        <v>51.231527093596064</v>
      </c>
      <c r="F4" t="s">
        <v>156</v>
      </c>
      <c r="G4">
        <f>(G3/I3)*100</f>
        <v>55.747126436781613</v>
      </c>
      <c r="H4">
        <f>(H3/I3)*100</f>
        <v>44.252873563218394</v>
      </c>
      <c r="K4" t="s">
        <v>156</v>
      </c>
      <c r="L4">
        <f>(L3/N3)*100</f>
        <v>63.888888888888886</v>
      </c>
      <c r="M4">
        <f>(M3/N3)*100</f>
        <v>36.111111111111107</v>
      </c>
      <c r="P4">
        <f>AVERAGE(B3,B16,B29)</f>
        <v>71</v>
      </c>
      <c r="Q4">
        <f>AVERAGE(C3,C16,C29)</f>
        <v>83</v>
      </c>
      <c r="R4">
        <f>STDEVA(B4,B17,B30)</f>
        <v>2.7893162781849457</v>
      </c>
      <c r="S4">
        <f>AVERAGE(G3,G16,G29)</f>
        <v>75.666666666666671</v>
      </c>
      <c r="T4">
        <f>AVERAGE(H3,H16,H29)</f>
        <v>61.666666666666664</v>
      </c>
      <c r="U4">
        <f>STDEVA(G4,G17,G30)</f>
        <v>1.8146669410660226</v>
      </c>
      <c r="V4">
        <f>AVERAGE(L3,L16,L29)</f>
        <v>80.666666666666671</v>
      </c>
      <c r="W4">
        <f>AVERAGE(M3,M16,M29)</f>
        <v>45.666666666666664</v>
      </c>
      <c r="X4">
        <f>STDEVA(L4,L17,L30)</f>
        <v>1.1231382882413938</v>
      </c>
      <c r="Y4" s="14" t="s">
        <v>63</v>
      </c>
    </row>
    <row r="5" spans="1:25" x14ac:dyDescent="0.2">
      <c r="P5">
        <f>AVERAGE(B4,B17,B30)</f>
        <v>45.56285417517423</v>
      </c>
      <c r="Q5">
        <f>AVERAGE(C4,C17,C30)</f>
        <v>54.43714582482577</v>
      </c>
      <c r="R5">
        <f>(R4/SQRT(3))</f>
        <v>1.6104125040650836</v>
      </c>
      <c r="S5">
        <f>AVERAGE(G4,G17,G30)</f>
        <v>55.213215575439598</v>
      </c>
      <c r="T5">
        <f>AVERAGE(H4,H17,H30)</f>
        <v>44.786784424560402</v>
      </c>
      <c r="U5">
        <f>(U4/SQRT(3))</f>
        <v>1.047698446913983</v>
      </c>
      <c r="V5">
        <f>AVERAGE(L4,L17,L30)</f>
        <v>63.852672750977831</v>
      </c>
      <c r="W5">
        <f>AVERAGE(M4,M17,M30)</f>
        <v>36.147327249022162</v>
      </c>
      <c r="X5">
        <f>(X4/SQRT(3))</f>
        <v>0.64844419305334422</v>
      </c>
      <c r="Y5" s="14" t="s">
        <v>59</v>
      </c>
    </row>
    <row r="6" spans="1:25" x14ac:dyDescent="0.2">
      <c r="B6" s="145" t="s">
        <v>208</v>
      </c>
      <c r="C6" s="145"/>
      <c r="G6" s="138" t="s">
        <v>209</v>
      </c>
      <c r="H6" s="138"/>
      <c r="L6" s="144" t="s">
        <v>210</v>
      </c>
      <c r="M6" s="144"/>
      <c r="P6" s="145" t="s">
        <v>208</v>
      </c>
      <c r="Q6" s="145"/>
      <c r="S6" s="138" t="s">
        <v>209</v>
      </c>
      <c r="T6" s="138"/>
      <c r="V6" s="144" t="s">
        <v>210</v>
      </c>
      <c r="W6" s="144"/>
      <c r="Y6" s="14"/>
    </row>
    <row r="7" spans="1:25" x14ac:dyDescent="0.2">
      <c r="B7">
        <v>47</v>
      </c>
      <c r="C7">
        <v>55</v>
      </c>
      <c r="D7">
        <f>B7+C7</f>
        <v>102</v>
      </c>
      <c r="G7">
        <v>77</v>
      </c>
      <c r="H7">
        <v>69</v>
      </c>
      <c r="I7">
        <f>G7+H7</f>
        <v>146</v>
      </c>
      <c r="L7">
        <v>70</v>
      </c>
      <c r="M7">
        <v>45</v>
      </c>
      <c r="N7">
        <f>L7+M7</f>
        <v>115</v>
      </c>
      <c r="P7">
        <f>AVERAGE(B7,B20,B33)</f>
        <v>52.333333333333336</v>
      </c>
      <c r="Q7">
        <f>AVERAGE(C7,C20,C33)</f>
        <v>67.333333333333329</v>
      </c>
      <c r="R7">
        <f>STDEVA(B8,B21,B34)</f>
        <v>3.0470122503106047</v>
      </c>
      <c r="S7">
        <f>AVERAGE(G7,G20,G33)</f>
        <v>64.333333333333329</v>
      </c>
      <c r="T7">
        <f>AVERAGE(H7,H20,H33)</f>
        <v>60</v>
      </c>
      <c r="U7">
        <f>STDEVA(G8,G21,G34)</f>
        <v>2.5813615313275005</v>
      </c>
      <c r="V7">
        <f>AVERAGE(L7,L20,L33)</f>
        <v>64</v>
      </c>
      <c r="W7">
        <f>AVERAGE(M7,M20,M33)</f>
        <v>38.333333333333336</v>
      </c>
      <c r="X7">
        <f>STDEVA(L8,L21,L34)</f>
        <v>5.5047389854103681</v>
      </c>
      <c r="Y7" s="14" t="s">
        <v>63</v>
      </c>
    </row>
    <row r="8" spans="1:25" x14ac:dyDescent="0.2">
      <c r="A8" t="s">
        <v>156</v>
      </c>
      <c r="B8">
        <f>(B7/D7)*100</f>
        <v>46.078431372549019</v>
      </c>
      <c r="C8">
        <f>(C7/D7)*100</f>
        <v>53.921568627450981</v>
      </c>
      <c r="G8">
        <f>(G7/I7)*100</f>
        <v>52.739726027397261</v>
      </c>
      <c r="H8">
        <f>(H7/I7)*100</f>
        <v>47.260273972602739</v>
      </c>
      <c r="L8">
        <f>(L7/N7)*100</f>
        <v>60.869565217391312</v>
      </c>
      <c r="M8">
        <f>(M7/N7)*100</f>
        <v>39.130434782608695</v>
      </c>
      <c r="P8">
        <f>AVERAGE(B8,B21,B34)</f>
        <v>43.596879612059872</v>
      </c>
      <c r="Q8">
        <f>AVERAGE(C8,C21,C34)</f>
        <v>56.403120387940128</v>
      </c>
      <c r="R8">
        <f>(R7/SQRT(3))</f>
        <v>1.759193342940915</v>
      </c>
      <c r="S8">
        <f>AVERAGE(G8,G21,G34)</f>
        <v>51.39702722975975</v>
      </c>
      <c r="T8">
        <f>AVERAGE(H8,H21,H34)</f>
        <v>48.60297277024025</v>
      </c>
      <c r="U8">
        <f>(U7/SQRT(3))</f>
        <v>1.4903497749876771</v>
      </c>
      <c r="V8">
        <f>AVERAGE(L8,L21,L34)</f>
        <v>62.540316677764082</v>
      </c>
      <c r="W8">
        <f>AVERAGE(M8,M21,M34)</f>
        <v>37.459683322235918</v>
      </c>
      <c r="X8">
        <f>(X7/SQRT(3))</f>
        <v>3.1781625350453035</v>
      </c>
      <c r="Y8" s="14" t="s">
        <v>59</v>
      </c>
    </row>
    <row r="9" spans="1:25" x14ac:dyDescent="0.2">
      <c r="P9" s="145" t="s">
        <v>211</v>
      </c>
      <c r="Q9" s="145"/>
      <c r="S9" s="138" t="s">
        <v>212</v>
      </c>
      <c r="T9" s="138"/>
      <c r="V9" s="144" t="s">
        <v>213</v>
      </c>
      <c r="W9" s="144"/>
      <c r="Y9" s="14"/>
    </row>
    <row r="10" spans="1:25" x14ac:dyDescent="0.2">
      <c r="B10" s="145" t="s">
        <v>211</v>
      </c>
      <c r="C10" s="145"/>
      <c r="G10" s="138" t="s">
        <v>212</v>
      </c>
      <c r="H10" s="138"/>
      <c r="L10" s="144" t="s">
        <v>213</v>
      </c>
      <c r="M10" s="144"/>
      <c r="P10">
        <f>AVERAGE(B11,B24,B37)</f>
        <v>54.333333333333336</v>
      </c>
      <c r="Q10">
        <f>AVERAGE(C11,C24,C37)</f>
        <v>73.333333333333329</v>
      </c>
      <c r="R10">
        <f>STDEVA(B12,B25,B38)</f>
        <v>2.6618073973241532</v>
      </c>
      <c r="S10">
        <f>AVERAGE(G11,G24,G37)</f>
        <v>58</v>
      </c>
      <c r="T10">
        <f>AVERAGE(H11,H24,H37)</f>
        <v>50.666666666666664</v>
      </c>
      <c r="U10">
        <f>STDEVA(G12,G25,G38)</f>
        <v>3.7608190481164314</v>
      </c>
      <c r="V10">
        <f>AVERAGE(L11,L24,L37)</f>
        <v>84.333333333333329</v>
      </c>
      <c r="W10">
        <f>AVERAGE(M11,M24,M37)</f>
        <v>48.666666666666664</v>
      </c>
      <c r="X10">
        <f>STDEVA(L12,L25,L38)</f>
        <v>3.7110959330224969</v>
      </c>
      <c r="Y10" s="14" t="s">
        <v>63</v>
      </c>
    </row>
    <row r="11" spans="1:25" x14ac:dyDescent="0.2">
      <c r="B11">
        <v>44</v>
      </c>
      <c r="C11">
        <v>65</v>
      </c>
      <c r="D11">
        <f>B11+C11</f>
        <v>109</v>
      </c>
      <c r="G11">
        <v>48</v>
      </c>
      <c r="H11">
        <v>50</v>
      </c>
      <c r="I11">
        <f>G11+H11</f>
        <v>98</v>
      </c>
      <c r="L11">
        <v>86</v>
      </c>
      <c r="M11">
        <v>52</v>
      </c>
      <c r="N11">
        <f>L11+M11</f>
        <v>138</v>
      </c>
      <c r="P11">
        <f>AVERAGE(B12,B25,B38)</f>
        <v>42.015912361772322</v>
      </c>
      <c r="Q11">
        <f>AVERAGE(C12,C25,C38)</f>
        <v>57.984087638227685</v>
      </c>
      <c r="R11">
        <f>(R10/SQRT(3))</f>
        <v>1.5367952173760371</v>
      </c>
      <c r="S11">
        <f>AVERAGE(G12,G25,G38)</f>
        <v>53.136851070703507</v>
      </c>
      <c r="T11">
        <f>AVERAGE(H12,H25,H38)</f>
        <v>46.863148929296493</v>
      </c>
      <c r="U11">
        <f>(U10/SQRT(3))</f>
        <v>2.1713098898034939</v>
      </c>
      <c r="V11">
        <f>AVERAGE(L12,L25,L38)</f>
        <v>63.290915517850834</v>
      </c>
      <c r="W11">
        <f>AVERAGE(M12,M25,M38)</f>
        <v>36.709084482149166</v>
      </c>
      <c r="X11">
        <f>(X10/SQRT(3))</f>
        <v>2.142602235919064</v>
      </c>
      <c r="Y11" s="14" t="s">
        <v>59</v>
      </c>
    </row>
    <row r="12" spans="1:25" x14ac:dyDescent="0.2">
      <c r="A12" t="s">
        <v>156</v>
      </c>
      <c r="B12">
        <f>(B11/D11)*100</f>
        <v>40.366972477064223</v>
      </c>
      <c r="C12">
        <f>(C11/D11)*100</f>
        <v>59.633027522935777</v>
      </c>
      <c r="G12">
        <f>(G11/I11)*100</f>
        <v>48.979591836734691</v>
      </c>
      <c r="H12">
        <f>(H11/I11)*100</f>
        <v>51.020408163265309</v>
      </c>
      <c r="L12">
        <f>(L11/N11)*100</f>
        <v>62.318840579710141</v>
      </c>
      <c r="M12">
        <f>(M11/N11)*100</f>
        <v>37.681159420289859</v>
      </c>
    </row>
    <row r="14" spans="1:25" x14ac:dyDescent="0.2">
      <c r="A14" s="14" t="s">
        <v>113</v>
      </c>
      <c r="B14" s="145" t="s">
        <v>373</v>
      </c>
      <c r="C14" s="145"/>
      <c r="G14" s="138" t="s">
        <v>374</v>
      </c>
      <c r="H14" s="138"/>
      <c r="L14" s="144" t="s">
        <v>375</v>
      </c>
      <c r="M14" s="144"/>
    </row>
    <row r="15" spans="1:25" x14ac:dyDescent="0.2">
      <c r="B15" t="s">
        <v>176</v>
      </c>
      <c r="C15" t="s">
        <v>207</v>
      </c>
      <c r="D15" t="s">
        <v>55</v>
      </c>
      <c r="G15" t="s">
        <v>176</v>
      </c>
      <c r="H15" t="s">
        <v>207</v>
      </c>
      <c r="I15" t="s">
        <v>55</v>
      </c>
      <c r="L15" t="s">
        <v>176</v>
      </c>
      <c r="M15" t="s">
        <v>207</v>
      </c>
      <c r="N15" t="s">
        <v>55</v>
      </c>
    </row>
    <row r="16" spans="1:25" x14ac:dyDescent="0.2">
      <c r="B16">
        <v>69</v>
      </c>
      <c r="C16">
        <v>87</v>
      </c>
      <c r="D16">
        <f>B16+C16</f>
        <v>156</v>
      </c>
      <c r="G16">
        <v>75</v>
      </c>
      <c r="H16">
        <v>66</v>
      </c>
      <c r="I16">
        <f>G16+H16</f>
        <v>141</v>
      </c>
      <c r="L16">
        <v>76</v>
      </c>
      <c r="M16">
        <v>41</v>
      </c>
      <c r="N16">
        <f>L16+M16</f>
        <v>117</v>
      </c>
    </row>
    <row r="17" spans="1:26" x14ac:dyDescent="0.2">
      <c r="A17" t="s">
        <v>156</v>
      </c>
      <c r="B17">
        <f>(B16/D16)*100</f>
        <v>44.230769230769226</v>
      </c>
      <c r="C17">
        <f>(C16/D16)*100</f>
        <v>55.769230769230774</v>
      </c>
      <c r="F17" t="s">
        <v>156</v>
      </c>
      <c r="G17">
        <f>(G16/I16)*100</f>
        <v>53.191489361702125</v>
      </c>
      <c r="H17">
        <f>(H16/I16)*100</f>
        <v>46.808510638297875</v>
      </c>
      <c r="K17" t="s">
        <v>156</v>
      </c>
      <c r="L17">
        <f>(L16/N16)*100</f>
        <v>64.957264957264954</v>
      </c>
      <c r="M17">
        <f>(M16/N16)*100</f>
        <v>35.042735042735039</v>
      </c>
    </row>
    <row r="19" spans="1:26" x14ac:dyDescent="0.2">
      <c r="B19" s="145" t="s">
        <v>208</v>
      </c>
      <c r="C19" s="145"/>
      <c r="G19" s="138" t="s">
        <v>209</v>
      </c>
      <c r="H19" s="138"/>
      <c r="L19" s="144" t="s">
        <v>210</v>
      </c>
      <c r="M19" s="144"/>
    </row>
    <row r="20" spans="1:26" x14ac:dyDescent="0.2">
      <c r="B20">
        <v>69</v>
      </c>
      <c r="C20">
        <v>86</v>
      </c>
      <c r="D20">
        <f>B20+C20</f>
        <v>155</v>
      </c>
      <c r="G20">
        <v>70</v>
      </c>
      <c r="H20">
        <v>62</v>
      </c>
      <c r="I20">
        <f>G20+H20</f>
        <v>132</v>
      </c>
      <c r="L20">
        <v>68</v>
      </c>
      <c r="M20">
        <v>31</v>
      </c>
      <c r="N20">
        <f>L20+M20</f>
        <v>99</v>
      </c>
    </row>
    <row r="21" spans="1:26" x14ac:dyDescent="0.2">
      <c r="A21" t="s">
        <v>156</v>
      </c>
      <c r="B21">
        <f>(B20/D20)*100</f>
        <v>44.516129032258064</v>
      </c>
      <c r="C21">
        <f>(C20/D20)*100</f>
        <v>55.483870967741936</v>
      </c>
      <c r="G21">
        <f>(G20/I20)*100</f>
        <v>53.030303030303031</v>
      </c>
      <c r="H21">
        <f>(H20/I20)*100</f>
        <v>46.969696969696969</v>
      </c>
      <c r="L21">
        <f>(L20/N20)*100</f>
        <v>68.686868686868678</v>
      </c>
      <c r="M21">
        <f>(M20/N20)*100</f>
        <v>31.313131313131315</v>
      </c>
    </row>
    <row r="23" spans="1:26" x14ac:dyDescent="0.2">
      <c r="B23" s="145" t="s">
        <v>211</v>
      </c>
      <c r="C23" s="145"/>
      <c r="G23" s="138" t="s">
        <v>212</v>
      </c>
      <c r="H23" s="138"/>
      <c r="L23" s="144" t="s">
        <v>213</v>
      </c>
      <c r="M23" s="144"/>
    </row>
    <row r="24" spans="1:26" x14ac:dyDescent="0.2">
      <c r="B24">
        <v>78</v>
      </c>
      <c r="C24">
        <v>95</v>
      </c>
      <c r="D24">
        <f>B24+C24</f>
        <v>173</v>
      </c>
      <c r="G24">
        <v>59</v>
      </c>
      <c r="H24">
        <v>50</v>
      </c>
      <c r="I24">
        <f>G24+H24</f>
        <v>109</v>
      </c>
      <c r="L24">
        <v>74</v>
      </c>
      <c r="M24">
        <v>49</v>
      </c>
      <c r="N24">
        <f>L24+M24</f>
        <v>123</v>
      </c>
    </row>
    <row r="25" spans="1:26" x14ac:dyDescent="0.2">
      <c r="A25" t="s">
        <v>156</v>
      </c>
      <c r="B25">
        <f>(B24/D24)*100</f>
        <v>45.086705202312139</v>
      </c>
      <c r="C25">
        <f>(C24/D24)*100</f>
        <v>54.913294797687861</v>
      </c>
      <c r="G25">
        <f>(G24/I24)*100</f>
        <v>54.128440366972477</v>
      </c>
      <c r="H25">
        <f>(H24/I24)*100</f>
        <v>45.871559633027523</v>
      </c>
      <c r="L25">
        <f>(L24/N24)*100</f>
        <v>60.162601626016269</v>
      </c>
      <c r="M25">
        <f>(M24/N24)*100</f>
        <v>39.837398373983739</v>
      </c>
      <c r="Y25" s="114" t="s">
        <v>60</v>
      </c>
      <c r="Z25" s="114"/>
    </row>
    <row r="26" spans="1:26" x14ac:dyDescent="0.2">
      <c r="Y26" s="11" t="s">
        <v>54</v>
      </c>
      <c r="Z26" s="12"/>
    </row>
    <row r="27" spans="1:26" x14ac:dyDescent="0.2">
      <c r="A27" s="14" t="s">
        <v>129</v>
      </c>
      <c r="B27" s="145" t="s">
        <v>373</v>
      </c>
      <c r="C27" s="145"/>
      <c r="G27" s="138" t="s">
        <v>374</v>
      </c>
      <c r="H27" s="138"/>
      <c r="L27" s="144" t="s">
        <v>375</v>
      </c>
      <c r="M27" s="144"/>
    </row>
    <row r="28" spans="1:26" x14ac:dyDescent="0.2">
      <c r="B28" t="s">
        <v>176</v>
      </c>
      <c r="C28" t="s">
        <v>207</v>
      </c>
      <c r="D28" t="s">
        <v>55</v>
      </c>
      <c r="G28" t="s">
        <v>176</v>
      </c>
      <c r="H28" t="s">
        <v>207</v>
      </c>
      <c r="I28" t="s">
        <v>55</v>
      </c>
      <c r="L28" t="s">
        <v>176</v>
      </c>
      <c r="M28" t="s">
        <v>207</v>
      </c>
      <c r="N28" t="s">
        <v>55</v>
      </c>
    </row>
    <row r="29" spans="1:26" x14ac:dyDescent="0.2">
      <c r="B29">
        <v>45</v>
      </c>
      <c r="C29">
        <v>58</v>
      </c>
      <c r="D29">
        <f>B29+C29</f>
        <v>103</v>
      </c>
      <c r="G29">
        <v>55</v>
      </c>
      <c r="H29">
        <v>42</v>
      </c>
      <c r="I29">
        <f>G29+H29</f>
        <v>97</v>
      </c>
      <c r="L29">
        <v>74</v>
      </c>
      <c r="M29">
        <v>44</v>
      </c>
      <c r="N29">
        <f>L29+M29</f>
        <v>118</v>
      </c>
    </row>
    <row r="30" spans="1:26" x14ac:dyDescent="0.2">
      <c r="A30" t="s">
        <v>156</v>
      </c>
      <c r="B30">
        <f>(B29/D29)*100</f>
        <v>43.689320388349515</v>
      </c>
      <c r="C30">
        <f>(C29/D29)*100</f>
        <v>56.310679611650485</v>
      </c>
      <c r="F30" t="s">
        <v>156</v>
      </c>
      <c r="G30">
        <f>(G29/I29)*100</f>
        <v>56.701030927835049</v>
      </c>
      <c r="H30">
        <f>(H29/I29)*100</f>
        <v>43.298969072164951</v>
      </c>
      <c r="K30" t="s">
        <v>156</v>
      </c>
      <c r="L30">
        <f>(L29/N29)*100</f>
        <v>62.711864406779661</v>
      </c>
      <c r="M30">
        <f>(M29/N29)*100</f>
        <v>37.288135593220339</v>
      </c>
    </row>
    <row r="32" spans="1:26" x14ac:dyDescent="0.2">
      <c r="B32" s="145" t="s">
        <v>208</v>
      </c>
      <c r="C32" s="145"/>
      <c r="G32" s="138" t="s">
        <v>209</v>
      </c>
      <c r="H32" s="138"/>
      <c r="L32" s="144" t="s">
        <v>210</v>
      </c>
      <c r="M32" s="144"/>
    </row>
    <row r="33" spans="1:31" x14ac:dyDescent="0.2">
      <c r="B33">
        <v>41</v>
      </c>
      <c r="C33">
        <v>61</v>
      </c>
      <c r="D33">
        <f>B33+C33</f>
        <v>102</v>
      </c>
      <c r="G33">
        <v>46</v>
      </c>
      <c r="H33">
        <v>49</v>
      </c>
      <c r="I33">
        <f>G33+H33</f>
        <v>95</v>
      </c>
      <c r="L33">
        <v>54</v>
      </c>
      <c r="M33">
        <v>39</v>
      </c>
      <c r="N33">
        <f>L33+M33</f>
        <v>93</v>
      </c>
      <c r="P33" t="s">
        <v>31</v>
      </c>
      <c r="S33" s="110" t="s">
        <v>376</v>
      </c>
      <c r="T33" s="110"/>
      <c r="Y33" t="s">
        <v>31</v>
      </c>
      <c r="AC33" s="110" t="s">
        <v>378</v>
      </c>
      <c r="AD33" s="110"/>
    </row>
    <row r="34" spans="1:31" x14ac:dyDescent="0.2">
      <c r="A34" t="s">
        <v>156</v>
      </c>
      <c r="B34">
        <f>(B33/D33)*100</f>
        <v>40.196078431372548</v>
      </c>
      <c r="C34">
        <f>(C33/D33)*100</f>
        <v>59.803921568627452</v>
      </c>
      <c r="G34">
        <f>(G33/I33)*100</f>
        <v>48.421052631578945</v>
      </c>
      <c r="H34">
        <f>(H33/I33)*100</f>
        <v>51.578947368421055</v>
      </c>
      <c r="L34">
        <f>(L33/N33)*100</f>
        <v>58.064516129032263</v>
      </c>
      <c r="M34">
        <f>(M33/N33)*100</f>
        <v>41.935483870967744</v>
      </c>
    </row>
    <row r="35" spans="1:31" ht="16" thickBot="1" x14ac:dyDescent="0.25">
      <c r="P35" t="s">
        <v>34</v>
      </c>
      <c r="Y35" t="s">
        <v>34</v>
      </c>
    </row>
    <row r="36" spans="1:31" x14ac:dyDescent="0.2">
      <c r="B36" s="145" t="s">
        <v>211</v>
      </c>
      <c r="C36" s="145"/>
      <c r="G36" s="138" t="s">
        <v>212</v>
      </c>
      <c r="H36" s="138"/>
      <c r="L36" s="144" t="s">
        <v>213</v>
      </c>
      <c r="M36" s="144"/>
      <c r="P36" s="3" t="s">
        <v>35</v>
      </c>
      <c r="Q36" s="3" t="s">
        <v>36</v>
      </c>
      <c r="R36" s="3" t="s">
        <v>37</v>
      </c>
      <c r="S36" s="3" t="s">
        <v>38</v>
      </c>
      <c r="T36" s="3" t="s">
        <v>39</v>
      </c>
      <c r="Y36" s="3" t="s">
        <v>35</v>
      </c>
      <c r="Z36" s="3" t="s">
        <v>36</v>
      </c>
      <c r="AA36" s="3" t="s">
        <v>37</v>
      </c>
      <c r="AB36" s="3" t="s">
        <v>38</v>
      </c>
      <c r="AC36" s="3" t="s">
        <v>39</v>
      </c>
    </row>
    <row r="37" spans="1:31" x14ac:dyDescent="0.2">
      <c r="B37">
        <v>41</v>
      </c>
      <c r="C37">
        <v>60</v>
      </c>
      <c r="D37">
        <f>B37+C37</f>
        <v>101</v>
      </c>
      <c r="G37">
        <v>67</v>
      </c>
      <c r="H37">
        <v>52</v>
      </c>
      <c r="I37">
        <f>G37+H37</f>
        <v>119</v>
      </c>
      <c r="L37">
        <v>93</v>
      </c>
      <c r="M37">
        <v>45</v>
      </c>
      <c r="N37">
        <f>L37+M37</f>
        <v>138</v>
      </c>
      <c r="P37" t="s">
        <v>41</v>
      </c>
      <c r="Q37">
        <v>3</v>
      </c>
      <c r="R37">
        <v>130.79063883617962</v>
      </c>
      <c r="S37">
        <v>43.596879612059872</v>
      </c>
      <c r="T37">
        <v>9.2842836535428965</v>
      </c>
      <c r="Y37" t="s">
        <v>41</v>
      </c>
      <c r="Z37">
        <v>3</v>
      </c>
      <c r="AA37">
        <v>126.04773708531697</v>
      </c>
      <c r="AB37">
        <v>42.015912361772322</v>
      </c>
      <c r="AC37">
        <v>7.0852186204495826</v>
      </c>
    </row>
    <row r="38" spans="1:31" ht="16" thickBot="1" x14ac:dyDescent="0.25">
      <c r="A38" t="s">
        <v>156</v>
      </c>
      <c r="B38">
        <f>(B37/D37)*100</f>
        <v>40.594059405940598</v>
      </c>
      <c r="C38">
        <f>(C37/D37)*100</f>
        <v>59.405940594059402</v>
      </c>
      <c r="G38">
        <f>(G37/I37)*100</f>
        <v>56.30252100840336</v>
      </c>
      <c r="H38">
        <f>(H37/I37)*100</f>
        <v>43.69747899159664</v>
      </c>
      <c r="L38">
        <f>(L37/N37)*100</f>
        <v>67.391304347826093</v>
      </c>
      <c r="M38">
        <f>(M37/N37)*100</f>
        <v>32.608695652173914</v>
      </c>
      <c r="P38" s="4" t="s">
        <v>42</v>
      </c>
      <c r="Q38" s="4">
        <v>3</v>
      </c>
      <c r="R38" s="4">
        <v>154.19108168927926</v>
      </c>
      <c r="S38" s="4">
        <v>51.39702722975975</v>
      </c>
      <c r="T38" s="4">
        <v>6.6634273554174577</v>
      </c>
      <c r="Y38" s="4" t="s">
        <v>42</v>
      </c>
      <c r="Z38" s="4">
        <v>3</v>
      </c>
      <c r="AA38" s="4">
        <v>159.41055321211053</v>
      </c>
      <c r="AB38" s="4">
        <v>53.136851070703507</v>
      </c>
      <c r="AC38" s="4">
        <v>14.143759912675382</v>
      </c>
    </row>
    <row r="41" spans="1:31" ht="16" thickBot="1" x14ac:dyDescent="0.25">
      <c r="P41" t="s">
        <v>44</v>
      </c>
      <c r="Y41" t="s">
        <v>44</v>
      </c>
    </row>
    <row r="42" spans="1:31" x14ac:dyDescent="0.2">
      <c r="P42" s="3" t="s">
        <v>45</v>
      </c>
      <c r="Q42" s="3" t="s">
        <v>46</v>
      </c>
      <c r="R42" s="3" t="s">
        <v>47</v>
      </c>
      <c r="S42" s="3" t="s">
        <v>48</v>
      </c>
      <c r="T42" s="3" t="s">
        <v>49</v>
      </c>
      <c r="U42" s="3" t="s">
        <v>50</v>
      </c>
      <c r="V42" s="3" t="s">
        <v>51</v>
      </c>
      <c r="Y42" s="3" t="s">
        <v>45</v>
      </c>
      <c r="Z42" s="3" t="s">
        <v>46</v>
      </c>
      <c r="AA42" s="3" t="s">
        <v>47</v>
      </c>
      <c r="AB42" s="3" t="s">
        <v>48</v>
      </c>
      <c r="AC42" s="3" t="s">
        <v>49</v>
      </c>
      <c r="AD42" s="3" t="s">
        <v>50</v>
      </c>
      <c r="AE42" s="3" t="s">
        <v>51</v>
      </c>
    </row>
    <row r="43" spans="1:31" x14ac:dyDescent="0.2">
      <c r="P43" t="s">
        <v>52</v>
      </c>
      <c r="Q43">
        <v>91.263454286863407</v>
      </c>
      <c r="R43">
        <v>1</v>
      </c>
      <c r="S43">
        <v>91.263454286863407</v>
      </c>
      <c r="T43">
        <v>11.445335852347245</v>
      </c>
      <c r="U43">
        <v>2.7706077980331267E-2</v>
      </c>
      <c r="V43">
        <v>7.708647422176786</v>
      </c>
      <c r="Y43" t="s">
        <v>52</v>
      </c>
      <c r="Z43">
        <v>185.51291665170612</v>
      </c>
      <c r="AA43">
        <v>1</v>
      </c>
      <c r="AB43">
        <v>185.51291665170612</v>
      </c>
      <c r="AC43">
        <v>17.477328582930937</v>
      </c>
      <c r="AD43">
        <v>1.3911686858658826E-2</v>
      </c>
      <c r="AE43">
        <v>7.708647422176786</v>
      </c>
    </row>
    <row r="44" spans="1:31" x14ac:dyDescent="0.2">
      <c r="P44" t="s">
        <v>53</v>
      </c>
      <c r="Q44">
        <v>31.895422017920708</v>
      </c>
      <c r="R44">
        <v>4</v>
      </c>
      <c r="S44">
        <v>7.9738555044801771</v>
      </c>
      <c r="Y44" t="s">
        <v>53</v>
      </c>
      <c r="Z44">
        <v>42.457957066249932</v>
      </c>
      <c r="AA44">
        <v>4</v>
      </c>
      <c r="AB44">
        <v>10.614489266562483</v>
      </c>
    </row>
    <row r="46" spans="1:31" ht="16" thickBot="1" x14ac:dyDescent="0.25">
      <c r="P46" s="4" t="s">
        <v>55</v>
      </c>
      <c r="Q46" s="4">
        <v>123.15887630478412</v>
      </c>
      <c r="R46" s="4">
        <v>5</v>
      </c>
      <c r="S46" s="4"/>
      <c r="T46" s="4"/>
      <c r="U46" s="4"/>
      <c r="V46" s="4"/>
      <c r="Y46" s="4" t="s">
        <v>55</v>
      </c>
      <c r="Z46" s="4">
        <v>227.97087371795607</v>
      </c>
      <c r="AA46" s="4">
        <v>5</v>
      </c>
      <c r="AB46" s="4"/>
      <c r="AC46" s="4"/>
      <c r="AD46" s="4"/>
      <c r="AE46" s="4"/>
    </row>
    <row r="48" spans="1:31" x14ac:dyDescent="0.2">
      <c r="P48" t="s">
        <v>31</v>
      </c>
      <c r="S48" s="110" t="s">
        <v>377</v>
      </c>
      <c r="T48" s="110"/>
    </row>
    <row r="49" spans="16:31" x14ac:dyDescent="0.2">
      <c r="Y49" t="s">
        <v>31</v>
      </c>
      <c r="AC49" s="110" t="s">
        <v>424</v>
      </c>
      <c r="AD49" s="110"/>
    </row>
    <row r="50" spans="16:31" ht="16" thickBot="1" x14ac:dyDescent="0.25">
      <c r="P50" t="s">
        <v>34</v>
      </c>
    </row>
    <row r="51" spans="16:31" ht="16" thickBot="1" x14ac:dyDescent="0.25">
      <c r="P51" s="3" t="s">
        <v>35</v>
      </c>
      <c r="Q51" s="3" t="s">
        <v>36</v>
      </c>
      <c r="R51" s="3" t="s">
        <v>37</v>
      </c>
      <c r="S51" s="3" t="s">
        <v>38</v>
      </c>
      <c r="T51" s="3" t="s">
        <v>39</v>
      </c>
      <c r="Y51" t="s">
        <v>34</v>
      </c>
    </row>
    <row r="52" spans="16:31" x14ac:dyDescent="0.2">
      <c r="P52" t="s">
        <v>41</v>
      </c>
      <c r="Q52">
        <v>3</v>
      </c>
      <c r="R52">
        <v>154.19108168927926</v>
      </c>
      <c r="S52">
        <v>51.39702722975975</v>
      </c>
      <c r="T52">
        <v>6.6634273554174577</v>
      </c>
      <c r="Y52" s="3" t="s">
        <v>35</v>
      </c>
      <c r="Z52" s="3" t="s">
        <v>36</v>
      </c>
      <c r="AA52" s="3" t="s">
        <v>37</v>
      </c>
      <c r="AB52" s="3" t="s">
        <v>38</v>
      </c>
      <c r="AC52" s="3" t="s">
        <v>39</v>
      </c>
    </row>
    <row r="53" spans="16:31" ht="16" thickBot="1" x14ac:dyDescent="0.25">
      <c r="P53" s="4" t="s">
        <v>42</v>
      </c>
      <c r="Q53" s="4">
        <v>3</v>
      </c>
      <c r="R53" s="4">
        <v>187.62095003329225</v>
      </c>
      <c r="S53" s="4">
        <v>62.540316677764082</v>
      </c>
      <c r="T53" s="4">
        <v>30.302151297496771</v>
      </c>
      <c r="Y53" t="s">
        <v>41</v>
      </c>
      <c r="Z53">
        <v>3</v>
      </c>
      <c r="AA53">
        <v>159.41055321211053</v>
      </c>
      <c r="AB53">
        <v>53.136851070703507</v>
      </c>
      <c r="AC53">
        <v>14.143759912675382</v>
      </c>
    </row>
    <row r="54" spans="16:31" ht="16" thickBot="1" x14ac:dyDescent="0.25">
      <c r="Y54" s="4" t="s">
        <v>42</v>
      </c>
      <c r="Z54" s="4">
        <v>3</v>
      </c>
      <c r="AA54" s="4">
        <v>189.8727465535525</v>
      </c>
      <c r="AB54" s="4">
        <v>63.290915517850834</v>
      </c>
      <c r="AC54" s="4">
        <v>13.772233024096115</v>
      </c>
    </row>
    <row r="56" spans="16:31" ht="16" thickBot="1" x14ac:dyDescent="0.25">
      <c r="P56" t="s">
        <v>44</v>
      </c>
    </row>
    <row r="57" spans="16:31" ht="16" thickBot="1" x14ac:dyDescent="0.25">
      <c r="P57" s="3" t="s">
        <v>45</v>
      </c>
      <c r="Q57" s="3" t="s">
        <v>46</v>
      </c>
      <c r="R57" s="3" t="s">
        <v>47</v>
      </c>
      <c r="S57" s="3" t="s">
        <v>48</v>
      </c>
      <c r="T57" s="3" t="s">
        <v>49</v>
      </c>
      <c r="U57" s="3" t="s">
        <v>50</v>
      </c>
      <c r="V57" s="3" t="s">
        <v>51</v>
      </c>
      <c r="Y57" t="s">
        <v>44</v>
      </c>
    </row>
    <row r="58" spans="16:31" x14ac:dyDescent="0.2">
      <c r="P58" t="s">
        <v>52</v>
      </c>
      <c r="Q58">
        <v>186.25934958300726</v>
      </c>
      <c r="R58">
        <v>1</v>
      </c>
      <c r="S58">
        <v>186.25934958300726</v>
      </c>
      <c r="T58">
        <v>10.07744806766731</v>
      </c>
      <c r="U58">
        <v>3.3712194087328756E-2</v>
      </c>
      <c r="V58">
        <v>7.708647422176786</v>
      </c>
      <c r="Y58" s="3" t="s">
        <v>45</v>
      </c>
      <c r="Z58" s="3" t="s">
        <v>46</v>
      </c>
      <c r="AA58" s="3" t="s">
        <v>47</v>
      </c>
      <c r="AB58" s="3" t="s">
        <v>48</v>
      </c>
      <c r="AC58" s="3" t="s">
        <v>49</v>
      </c>
      <c r="AD58" s="3" t="s">
        <v>50</v>
      </c>
      <c r="AE58" s="3" t="s">
        <v>51</v>
      </c>
    </row>
    <row r="59" spans="16:31" x14ac:dyDescent="0.2">
      <c r="P59" t="s">
        <v>53</v>
      </c>
      <c r="Q59">
        <v>73.931157305828464</v>
      </c>
      <c r="R59">
        <v>4</v>
      </c>
      <c r="S59">
        <v>18.482789326457116</v>
      </c>
      <c r="Y59" t="s">
        <v>52</v>
      </c>
      <c r="Z59">
        <v>154.65753719523195</v>
      </c>
      <c r="AA59">
        <v>1</v>
      </c>
      <c r="AB59">
        <v>154.65753719523195</v>
      </c>
      <c r="AC59">
        <v>11.080210368696147</v>
      </c>
      <c r="AD59">
        <v>2.9141095085729374E-2</v>
      </c>
      <c r="AE59">
        <v>7.708647422176786</v>
      </c>
    </row>
    <row r="60" spans="16:31" x14ac:dyDescent="0.2">
      <c r="Y60" t="s">
        <v>53</v>
      </c>
      <c r="Z60">
        <v>55.83198587354299</v>
      </c>
      <c r="AA60">
        <v>4</v>
      </c>
      <c r="AB60">
        <v>13.957996468385748</v>
      </c>
    </row>
    <row r="61" spans="16:31" ht="16" thickBot="1" x14ac:dyDescent="0.25">
      <c r="P61" s="4" t="s">
        <v>55</v>
      </c>
      <c r="Q61" s="4">
        <v>260.19050688883573</v>
      </c>
      <c r="R61" s="4">
        <v>5</v>
      </c>
      <c r="S61" s="4"/>
      <c r="T61" s="4"/>
      <c r="U61" s="4"/>
      <c r="V61" s="4"/>
    </row>
    <row r="62" spans="16:31" ht="16" thickBot="1" x14ac:dyDescent="0.25">
      <c r="Y62" s="4" t="s">
        <v>55</v>
      </c>
      <c r="Z62" s="4">
        <v>210.48952306877496</v>
      </c>
      <c r="AA62" s="4">
        <v>5</v>
      </c>
      <c r="AB62" s="4"/>
      <c r="AC62" s="4"/>
      <c r="AD62" s="4"/>
      <c r="AE62" s="4"/>
    </row>
  </sheetData>
  <mergeCells count="42">
    <mergeCell ref="S48:T48"/>
    <mergeCell ref="AC33:AD33"/>
    <mergeCell ref="AC49:AD49"/>
    <mergeCell ref="Y25:Z25"/>
    <mergeCell ref="B36:C36"/>
    <mergeCell ref="G36:H36"/>
    <mergeCell ref="L36:M36"/>
    <mergeCell ref="B14:C14"/>
    <mergeCell ref="G14:H14"/>
    <mergeCell ref="B27:C27"/>
    <mergeCell ref="G27:H27"/>
    <mergeCell ref="L27:M27"/>
    <mergeCell ref="B32:C32"/>
    <mergeCell ref="G32:H32"/>
    <mergeCell ref="L32:M32"/>
    <mergeCell ref="S2:T2"/>
    <mergeCell ref="B1:C1"/>
    <mergeCell ref="P2:Q2"/>
    <mergeCell ref="G1:H1"/>
    <mergeCell ref="L1:M1"/>
    <mergeCell ref="P1:X1"/>
    <mergeCell ref="V2:W2"/>
    <mergeCell ref="B6:C6"/>
    <mergeCell ref="G6:H6"/>
    <mergeCell ref="L6:M6"/>
    <mergeCell ref="P6:Q6"/>
    <mergeCell ref="S6:T6"/>
    <mergeCell ref="S33:T33"/>
    <mergeCell ref="L14:M14"/>
    <mergeCell ref="B19:C19"/>
    <mergeCell ref="G19:H19"/>
    <mergeCell ref="L19:M19"/>
    <mergeCell ref="B23:C23"/>
    <mergeCell ref="G23:H23"/>
    <mergeCell ref="L23:M23"/>
    <mergeCell ref="V6:W6"/>
    <mergeCell ref="P9:Q9"/>
    <mergeCell ref="S9:T9"/>
    <mergeCell ref="V9:W9"/>
    <mergeCell ref="B10:C10"/>
    <mergeCell ref="G10:H10"/>
    <mergeCell ref="L10:M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3B48-587A-8B42-AC36-0DA60D93043F}">
  <sheetPr>
    <tabColor rgb="FF00B050"/>
  </sheetPr>
  <dimension ref="A1:S42"/>
  <sheetViews>
    <sheetView workbookViewId="0">
      <selection activeCell="Q2" sqref="Q2:S2"/>
    </sheetView>
  </sheetViews>
  <sheetFormatPr baseColWidth="10" defaultRowHeight="15" x14ac:dyDescent="0.2"/>
  <cols>
    <col min="1" max="1" width="18.1640625" customWidth="1"/>
    <col min="4" max="4" width="14.83203125" customWidth="1"/>
    <col min="6" max="6" width="6.83203125" customWidth="1"/>
    <col min="9" max="9" width="13.6640625" customWidth="1"/>
    <col min="11" max="11" width="7.33203125" customWidth="1"/>
    <col min="12" max="12" width="12.6640625" customWidth="1"/>
    <col min="13" max="13" width="11.5" customWidth="1"/>
    <col min="14" max="14" width="14.1640625" customWidth="1"/>
    <col min="15" max="15" width="9.83203125" customWidth="1"/>
    <col min="16" max="16" width="7.6640625" customWidth="1"/>
    <col min="17" max="17" width="13" customWidth="1"/>
    <col min="23" max="23" width="15" customWidth="1"/>
  </cols>
  <sheetData>
    <row r="1" spans="1:19" x14ac:dyDescent="0.2">
      <c r="B1" s="115" t="s">
        <v>372</v>
      </c>
      <c r="C1" s="115"/>
      <c r="D1" s="115"/>
      <c r="E1" s="115"/>
      <c r="G1" s="115" t="s">
        <v>68</v>
      </c>
      <c r="H1" s="115"/>
      <c r="I1" s="115"/>
      <c r="J1" s="115"/>
      <c r="L1" s="116" t="s">
        <v>69</v>
      </c>
      <c r="M1" s="116"/>
      <c r="N1" s="116"/>
      <c r="O1" s="116"/>
    </row>
    <row r="2" spans="1:19" x14ac:dyDescent="0.2">
      <c r="B2" s="14" t="s">
        <v>361</v>
      </c>
      <c r="C2" s="14" t="s">
        <v>14</v>
      </c>
      <c r="D2" s="14" t="s">
        <v>362</v>
      </c>
      <c r="E2" s="14" t="s">
        <v>84</v>
      </c>
      <c r="G2" s="14" t="s">
        <v>361</v>
      </c>
      <c r="H2" s="14" t="s">
        <v>14</v>
      </c>
      <c r="I2" s="14" t="s">
        <v>362</v>
      </c>
      <c r="J2" s="14" t="s">
        <v>84</v>
      </c>
      <c r="L2" s="14" t="s">
        <v>361</v>
      </c>
      <c r="M2" s="14" t="s">
        <v>14</v>
      </c>
      <c r="N2" s="14" t="s">
        <v>362</v>
      </c>
      <c r="O2" s="14" t="s">
        <v>84</v>
      </c>
      <c r="Q2" s="103" t="s">
        <v>363</v>
      </c>
      <c r="R2" s="103" t="s">
        <v>63</v>
      </c>
      <c r="S2" s="103" t="s">
        <v>59</v>
      </c>
    </row>
    <row r="3" spans="1:19" x14ac:dyDescent="0.2">
      <c r="A3" t="s">
        <v>22</v>
      </c>
      <c r="B3">
        <v>0</v>
      </c>
      <c r="C3">
        <v>0</v>
      </c>
      <c r="D3">
        <v>0</v>
      </c>
      <c r="E3">
        <v>54</v>
      </c>
      <c r="G3">
        <v>0</v>
      </c>
      <c r="H3">
        <v>1</v>
      </c>
      <c r="I3">
        <v>0</v>
      </c>
      <c r="J3">
        <v>61</v>
      </c>
      <c r="L3">
        <v>0</v>
      </c>
      <c r="M3">
        <v>0</v>
      </c>
      <c r="N3">
        <v>0</v>
      </c>
      <c r="O3">
        <v>45</v>
      </c>
      <c r="Q3" s="70">
        <f t="shared" ref="Q3:Q13" si="0">AVERAGE(I3,D3,N3)</f>
        <v>0</v>
      </c>
      <c r="R3">
        <f t="shared" ref="R3:R13" si="1">STDEVA(Q3,(D3),(I3),(N3))</f>
        <v>0</v>
      </c>
      <c r="S3">
        <f>R3/SQRT(4)</f>
        <v>0</v>
      </c>
    </row>
    <row r="4" spans="1:19" x14ac:dyDescent="0.2">
      <c r="A4" t="s">
        <v>4</v>
      </c>
      <c r="B4">
        <v>0</v>
      </c>
      <c r="C4">
        <v>23</v>
      </c>
      <c r="D4">
        <v>0</v>
      </c>
      <c r="E4">
        <v>55</v>
      </c>
      <c r="G4">
        <v>0</v>
      </c>
      <c r="H4">
        <v>51</v>
      </c>
      <c r="I4">
        <v>0</v>
      </c>
      <c r="J4">
        <v>81</v>
      </c>
      <c r="L4">
        <v>0</v>
      </c>
      <c r="M4">
        <v>28</v>
      </c>
      <c r="N4">
        <v>0</v>
      </c>
      <c r="O4">
        <v>76</v>
      </c>
      <c r="Q4" s="70">
        <f t="shared" si="0"/>
        <v>0</v>
      </c>
      <c r="R4">
        <f t="shared" si="1"/>
        <v>0</v>
      </c>
      <c r="S4">
        <f t="shared" ref="S4:S13" si="2">R4/SQRT(4)</f>
        <v>0</v>
      </c>
    </row>
    <row r="5" spans="1:19" x14ac:dyDescent="0.2">
      <c r="A5" t="s">
        <v>23</v>
      </c>
      <c r="B5">
        <v>0</v>
      </c>
      <c r="C5">
        <v>0</v>
      </c>
      <c r="D5">
        <v>0</v>
      </c>
      <c r="E5">
        <v>54</v>
      </c>
      <c r="G5">
        <v>0</v>
      </c>
      <c r="H5">
        <v>3</v>
      </c>
      <c r="I5">
        <v>0</v>
      </c>
      <c r="J5">
        <v>66</v>
      </c>
      <c r="L5">
        <v>0</v>
      </c>
      <c r="M5">
        <v>0</v>
      </c>
      <c r="N5">
        <v>0</v>
      </c>
      <c r="O5">
        <v>51</v>
      </c>
      <c r="Q5" s="70">
        <f t="shared" si="0"/>
        <v>0</v>
      </c>
      <c r="R5">
        <f t="shared" si="1"/>
        <v>0</v>
      </c>
      <c r="S5">
        <f t="shared" si="2"/>
        <v>0</v>
      </c>
    </row>
    <row r="6" spans="1:19" x14ac:dyDescent="0.2">
      <c r="A6" t="s">
        <v>5</v>
      </c>
      <c r="B6">
        <v>0</v>
      </c>
      <c r="C6">
        <v>52</v>
      </c>
      <c r="D6">
        <v>0</v>
      </c>
      <c r="E6">
        <v>89</v>
      </c>
      <c r="G6">
        <v>0</v>
      </c>
      <c r="H6">
        <v>26</v>
      </c>
      <c r="I6">
        <v>0</v>
      </c>
      <c r="J6">
        <v>58</v>
      </c>
      <c r="L6">
        <v>0</v>
      </c>
      <c r="M6">
        <v>25</v>
      </c>
      <c r="N6">
        <v>0</v>
      </c>
      <c r="O6">
        <v>95</v>
      </c>
      <c r="Q6" s="70">
        <f t="shared" si="0"/>
        <v>0</v>
      </c>
      <c r="R6">
        <f t="shared" si="1"/>
        <v>0</v>
      </c>
      <c r="S6">
        <f t="shared" si="2"/>
        <v>0</v>
      </c>
    </row>
    <row r="7" spans="1:19" x14ac:dyDescent="0.2">
      <c r="A7" t="s">
        <v>15</v>
      </c>
      <c r="B7">
        <v>0</v>
      </c>
      <c r="C7">
        <v>0</v>
      </c>
      <c r="D7">
        <v>0</v>
      </c>
      <c r="E7">
        <v>44</v>
      </c>
      <c r="G7">
        <v>0</v>
      </c>
      <c r="H7">
        <v>0</v>
      </c>
      <c r="I7">
        <v>0</v>
      </c>
      <c r="J7">
        <v>59</v>
      </c>
      <c r="L7">
        <v>0</v>
      </c>
      <c r="M7">
        <v>0</v>
      </c>
      <c r="N7">
        <v>0</v>
      </c>
      <c r="O7">
        <v>48</v>
      </c>
      <c r="Q7" s="70">
        <f t="shared" si="0"/>
        <v>0</v>
      </c>
      <c r="R7">
        <f t="shared" si="1"/>
        <v>0</v>
      </c>
      <c r="S7">
        <f t="shared" si="2"/>
        <v>0</v>
      </c>
    </row>
    <row r="8" spans="1:19" x14ac:dyDescent="0.2">
      <c r="A8" t="s">
        <v>13</v>
      </c>
      <c r="B8">
        <v>16</v>
      </c>
      <c r="C8">
        <v>43</v>
      </c>
      <c r="D8">
        <f>(B8/C8)*100</f>
        <v>37.209302325581397</v>
      </c>
      <c r="E8">
        <v>69</v>
      </c>
      <c r="G8">
        <v>14</v>
      </c>
      <c r="H8">
        <v>47</v>
      </c>
      <c r="I8">
        <f>(G8/H8)*100</f>
        <v>29.787234042553191</v>
      </c>
      <c r="J8">
        <v>76</v>
      </c>
      <c r="L8">
        <v>12</v>
      </c>
      <c r="M8">
        <v>77</v>
      </c>
      <c r="N8">
        <f>(L8/M8)*100</f>
        <v>15.584415584415584</v>
      </c>
      <c r="O8">
        <v>100</v>
      </c>
      <c r="Q8" s="102">
        <f>AVERAGE(I8,D8,N8)</f>
        <v>27.526983984183389</v>
      </c>
      <c r="R8">
        <f>STDEVA(Q8,(D8),(I8),(N8))</f>
        <v>8.9718255068049171</v>
      </c>
      <c r="S8">
        <f>R8/SQRT(3)</f>
        <v>5.17988587147617</v>
      </c>
    </row>
    <row r="9" spans="1:19" x14ac:dyDescent="0.2">
      <c r="A9" t="s">
        <v>24</v>
      </c>
      <c r="B9">
        <v>0</v>
      </c>
      <c r="C9">
        <v>0</v>
      </c>
      <c r="D9">
        <v>0</v>
      </c>
      <c r="E9">
        <v>57</v>
      </c>
      <c r="G9">
        <v>0</v>
      </c>
      <c r="H9">
        <v>1</v>
      </c>
      <c r="I9">
        <v>0</v>
      </c>
      <c r="J9">
        <v>82</v>
      </c>
      <c r="L9">
        <v>0</v>
      </c>
      <c r="M9">
        <v>0</v>
      </c>
      <c r="N9">
        <v>0</v>
      </c>
      <c r="O9">
        <v>53</v>
      </c>
      <c r="Q9" s="70">
        <f t="shared" si="0"/>
        <v>0</v>
      </c>
      <c r="R9">
        <f t="shared" si="1"/>
        <v>0</v>
      </c>
      <c r="S9">
        <f t="shared" si="2"/>
        <v>0</v>
      </c>
    </row>
    <row r="10" spans="1:19" x14ac:dyDescent="0.2">
      <c r="A10" t="s">
        <v>9</v>
      </c>
      <c r="B10">
        <v>0</v>
      </c>
      <c r="C10">
        <v>28</v>
      </c>
      <c r="D10">
        <v>0</v>
      </c>
      <c r="E10">
        <v>59</v>
      </c>
      <c r="G10">
        <v>0</v>
      </c>
      <c r="H10">
        <v>29</v>
      </c>
      <c r="I10">
        <v>0</v>
      </c>
      <c r="J10">
        <v>70</v>
      </c>
      <c r="L10">
        <v>0</v>
      </c>
      <c r="M10">
        <v>26</v>
      </c>
      <c r="N10">
        <v>0</v>
      </c>
      <c r="O10">
        <v>101</v>
      </c>
      <c r="Q10" s="70">
        <f t="shared" si="0"/>
        <v>0</v>
      </c>
      <c r="R10">
        <f t="shared" si="1"/>
        <v>0</v>
      </c>
      <c r="S10">
        <f t="shared" si="2"/>
        <v>0</v>
      </c>
    </row>
    <row r="11" spans="1:19" x14ac:dyDescent="0.2">
      <c r="A11" t="s">
        <v>25</v>
      </c>
      <c r="B11">
        <v>0</v>
      </c>
      <c r="C11">
        <v>0</v>
      </c>
      <c r="D11">
        <v>0</v>
      </c>
      <c r="E11">
        <v>52</v>
      </c>
      <c r="G11">
        <v>0</v>
      </c>
      <c r="H11">
        <v>1</v>
      </c>
      <c r="I11">
        <v>0</v>
      </c>
      <c r="J11">
        <v>67</v>
      </c>
      <c r="L11">
        <v>0</v>
      </c>
      <c r="M11">
        <v>0</v>
      </c>
      <c r="N11">
        <v>0</v>
      </c>
      <c r="O11">
        <v>35</v>
      </c>
      <c r="Q11" s="70">
        <f t="shared" si="0"/>
        <v>0</v>
      </c>
      <c r="R11">
        <f t="shared" si="1"/>
        <v>0</v>
      </c>
      <c r="S11">
        <f t="shared" si="2"/>
        <v>0</v>
      </c>
    </row>
    <row r="12" spans="1:19" x14ac:dyDescent="0.2">
      <c r="A12" t="s">
        <v>6</v>
      </c>
      <c r="B12">
        <v>0</v>
      </c>
      <c r="C12">
        <v>40</v>
      </c>
      <c r="D12">
        <v>0</v>
      </c>
      <c r="E12">
        <v>59</v>
      </c>
      <c r="G12">
        <v>0</v>
      </c>
      <c r="H12">
        <v>24</v>
      </c>
      <c r="I12">
        <v>0</v>
      </c>
      <c r="J12">
        <v>58</v>
      </c>
      <c r="L12">
        <v>0</v>
      </c>
      <c r="M12">
        <v>21</v>
      </c>
      <c r="N12">
        <v>0</v>
      </c>
      <c r="O12">
        <v>76</v>
      </c>
      <c r="Q12" s="70">
        <f t="shared" si="0"/>
        <v>0</v>
      </c>
      <c r="R12">
        <f t="shared" si="1"/>
        <v>0</v>
      </c>
      <c r="S12">
        <f t="shared" si="2"/>
        <v>0</v>
      </c>
    </row>
    <row r="13" spans="1:19" x14ac:dyDescent="0.2">
      <c r="A13" t="s">
        <v>16</v>
      </c>
      <c r="B13">
        <v>0</v>
      </c>
      <c r="C13">
        <v>0</v>
      </c>
      <c r="D13">
        <v>0</v>
      </c>
      <c r="E13">
        <v>59</v>
      </c>
      <c r="G13">
        <v>0</v>
      </c>
      <c r="H13">
        <v>2</v>
      </c>
      <c r="I13">
        <v>0</v>
      </c>
      <c r="J13">
        <v>56</v>
      </c>
      <c r="L13">
        <v>0</v>
      </c>
      <c r="M13">
        <v>1</v>
      </c>
      <c r="N13">
        <v>0</v>
      </c>
      <c r="O13">
        <v>43</v>
      </c>
      <c r="Q13" s="70">
        <f t="shared" si="0"/>
        <v>0</v>
      </c>
      <c r="R13">
        <f t="shared" si="1"/>
        <v>0</v>
      </c>
      <c r="S13">
        <f t="shared" si="2"/>
        <v>0</v>
      </c>
    </row>
    <row r="14" spans="1:19" x14ac:dyDescent="0.2">
      <c r="A14" t="s">
        <v>7</v>
      </c>
      <c r="B14">
        <v>22</v>
      </c>
      <c r="C14">
        <v>49</v>
      </c>
      <c r="D14">
        <f>(B14/C14)*100</f>
        <v>44.897959183673471</v>
      </c>
      <c r="E14">
        <v>76</v>
      </c>
      <c r="G14">
        <v>34</v>
      </c>
      <c r="H14">
        <v>52</v>
      </c>
      <c r="I14">
        <f>(G14/H14)*100</f>
        <v>65.384615384615387</v>
      </c>
      <c r="J14">
        <v>79</v>
      </c>
      <c r="L14">
        <v>15</v>
      </c>
      <c r="M14">
        <v>65</v>
      </c>
      <c r="N14">
        <f>(L14/M14)*100</f>
        <v>23.076923076923077</v>
      </c>
      <c r="O14">
        <v>114</v>
      </c>
      <c r="Q14">
        <f>AVERAGE(I14,D14,N14)</f>
        <v>44.453165881737306</v>
      </c>
      <c r="R14">
        <f>STDEVA(Q14,(D14),(I14),(N14))</f>
        <v>17.274906423512665</v>
      </c>
      <c r="S14">
        <f>R14/SQRT(3)</f>
        <v>9.9736718738406331</v>
      </c>
    </row>
    <row r="16" spans="1:19" x14ac:dyDescent="0.2">
      <c r="B16" s="14" t="s">
        <v>364</v>
      </c>
      <c r="C16" s="14" t="s">
        <v>365</v>
      </c>
      <c r="D16" s="14" t="s">
        <v>366</v>
      </c>
      <c r="E16" s="14" t="s">
        <v>84</v>
      </c>
      <c r="G16" s="14" t="s">
        <v>364</v>
      </c>
      <c r="H16" s="14" t="s">
        <v>365</v>
      </c>
      <c r="I16" s="14" t="s">
        <v>366</v>
      </c>
      <c r="J16" s="14" t="s">
        <v>84</v>
      </c>
      <c r="L16" s="14" t="s">
        <v>364</v>
      </c>
      <c r="M16" s="14" t="s">
        <v>365</v>
      </c>
      <c r="N16" s="14" t="s">
        <v>366</v>
      </c>
      <c r="O16" s="14" t="s">
        <v>84</v>
      </c>
      <c r="Q16" s="149" t="s">
        <v>367</v>
      </c>
      <c r="R16" s="149" t="s">
        <v>63</v>
      </c>
      <c r="S16" s="149" t="s">
        <v>59</v>
      </c>
    </row>
    <row r="17" spans="1:19" x14ac:dyDescent="0.2">
      <c r="A17" t="s">
        <v>22</v>
      </c>
      <c r="B17">
        <v>0</v>
      </c>
      <c r="C17">
        <v>0</v>
      </c>
      <c r="D17">
        <v>0</v>
      </c>
      <c r="E17">
        <v>54</v>
      </c>
      <c r="G17">
        <v>0</v>
      </c>
      <c r="H17">
        <v>0</v>
      </c>
      <c r="I17">
        <v>0</v>
      </c>
      <c r="J17">
        <v>61</v>
      </c>
      <c r="L17">
        <v>0</v>
      </c>
      <c r="M17">
        <v>0</v>
      </c>
      <c r="N17">
        <v>0</v>
      </c>
      <c r="O17">
        <v>45</v>
      </c>
      <c r="Q17">
        <f t="shared" ref="Q17:Q19" si="3">AVERAGE(I17,D17,N17)</f>
        <v>0</v>
      </c>
      <c r="R17">
        <f t="shared" ref="R17:R19" si="4">STDEVA(Q17,(D17),(N17),(I17))</f>
        <v>0</v>
      </c>
      <c r="S17">
        <f>R17/SQRT(4)</f>
        <v>0</v>
      </c>
    </row>
    <row r="18" spans="1:19" x14ac:dyDescent="0.2">
      <c r="A18" t="s">
        <v>4</v>
      </c>
      <c r="B18">
        <v>0</v>
      </c>
      <c r="C18">
        <v>0</v>
      </c>
      <c r="D18">
        <v>0</v>
      </c>
      <c r="E18">
        <v>55</v>
      </c>
      <c r="G18">
        <v>0</v>
      </c>
      <c r="H18">
        <v>0</v>
      </c>
      <c r="I18">
        <v>0</v>
      </c>
      <c r="J18">
        <v>81</v>
      </c>
      <c r="L18">
        <v>0</v>
      </c>
      <c r="M18">
        <v>0</v>
      </c>
      <c r="N18">
        <v>0</v>
      </c>
      <c r="O18">
        <v>76</v>
      </c>
      <c r="Q18">
        <f t="shared" si="3"/>
        <v>0</v>
      </c>
      <c r="R18">
        <f t="shared" si="4"/>
        <v>0</v>
      </c>
      <c r="S18">
        <f t="shared" ref="S18:S19" si="5">R18/SQRT(4)</f>
        <v>0</v>
      </c>
    </row>
    <row r="19" spans="1:19" x14ac:dyDescent="0.2">
      <c r="A19" t="s">
        <v>23</v>
      </c>
      <c r="B19">
        <v>0</v>
      </c>
      <c r="C19">
        <v>0</v>
      </c>
      <c r="D19">
        <v>0</v>
      </c>
      <c r="E19">
        <v>54</v>
      </c>
      <c r="G19">
        <v>0</v>
      </c>
      <c r="H19">
        <v>0</v>
      </c>
      <c r="I19">
        <v>0</v>
      </c>
      <c r="J19">
        <v>66</v>
      </c>
      <c r="L19">
        <v>0</v>
      </c>
      <c r="M19">
        <v>0</v>
      </c>
      <c r="N19">
        <v>0</v>
      </c>
      <c r="O19">
        <v>51</v>
      </c>
      <c r="Q19">
        <f t="shared" si="3"/>
        <v>0</v>
      </c>
      <c r="R19">
        <f t="shared" si="4"/>
        <v>0</v>
      </c>
      <c r="S19">
        <f t="shared" si="5"/>
        <v>0</v>
      </c>
    </row>
    <row r="20" spans="1:19" x14ac:dyDescent="0.2">
      <c r="A20" t="s">
        <v>5</v>
      </c>
      <c r="B20">
        <v>83</v>
      </c>
      <c r="C20">
        <v>89</v>
      </c>
      <c r="D20">
        <f>(B20/C20)*100</f>
        <v>93.258426966292134</v>
      </c>
      <c r="E20">
        <v>89</v>
      </c>
      <c r="G20">
        <v>58</v>
      </c>
      <c r="H20">
        <v>58</v>
      </c>
      <c r="I20">
        <f>(G20/H20)*100</f>
        <v>100</v>
      </c>
      <c r="J20">
        <v>58</v>
      </c>
      <c r="L20">
        <v>88</v>
      </c>
      <c r="M20">
        <v>95</v>
      </c>
      <c r="N20">
        <f>(L20/M20)*100</f>
        <v>92.631578947368425</v>
      </c>
      <c r="O20">
        <v>95</v>
      </c>
      <c r="Q20">
        <f>AVERAGE(I20,D20,N20)</f>
        <v>95.296668637886853</v>
      </c>
      <c r="R20">
        <f t="shared" ref="R20:R28" si="6">STDEVA(Q20,(D20),(N20),(I20))</f>
        <v>3.3355888072008093</v>
      </c>
      <c r="S20">
        <f>R20/SQRT(3)</f>
        <v>1.9258030957432901</v>
      </c>
    </row>
    <row r="21" spans="1:19" x14ac:dyDescent="0.2">
      <c r="A21" t="s">
        <v>15</v>
      </c>
      <c r="B21">
        <v>0</v>
      </c>
      <c r="C21">
        <v>0</v>
      </c>
      <c r="D21">
        <v>0</v>
      </c>
      <c r="E21">
        <v>44</v>
      </c>
      <c r="G21">
        <v>0</v>
      </c>
      <c r="H21">
        <v>0</v>
      </c>
      <c r="I21">
        <v>0</v>
      </c>
      <c r="J21">
        <v>59</v>
      </c>
      <c r="L21">
        <v>0</v>
      </c>
      <c r="M21">
        <v>0</v>
      </c>
      <c r="N21">
        <v>0</v>
      </c>
      <c r="O21">
        <v>48</v>
      </c>
      <c r="Q21">
        <f>AVERAGE(I21,D21,N21)</f>
        <v>0</v>
      </c>
      <c r="R21">
        <f t="shared" si="6"/>
        <v>0</v>
      </c>
      <c r="S21">
        <f t="shared" ref="S21:S28" si="7">R21/SQRT(3)</f>
        <v>0</v>
      </c>
    </row>
    <row r="22" spans="1:19" x14ac:dyDescent="0.2">
      <c r="A22" t="s">
        <v>13</v>
      </c>
      <c r="B22">
        <v>69</v>
      </c>
      <c r="C22">
        <v>69</v>
      </c>
      <c r="D22">
        <f>(B22/C22)*100</f>
        <v>100</v>
      </c>
      <c r="E22">
        <v>69</v>
      </c>
      <c r="G22">
        <v>74</v>
      </c>
      <c r="H22">
        <v>76</v>
      </c>
      <c r="I22" s="104">
        <f>(G22/H22)*100</f>
        <v>97.368421052631575</v>
      </c>
      <c r="J22">
        <v>76</v>
      </c>
      <c r="L22">
        <v>100</v>
      </c>
      <c r="M22">
        <v>100</v>
      </c>
      <c r="N22">
        <v>100</v>
      </c>
      <c r="O22">
        <v>100</v>
      </c>
      <c r="Q22">
        <f>AVERAGE(I22,D22,N22)</f>
        <v>99.122807017543849</v>
      </c>
      <c r="R22">
        <f t="shared" si="6"/>
        <v>1.2405382126079798</v>
      </c>
      <c r="S22">
        <f t="shared" si="7"/>
        <v>0.71622507098923438</v>
      </c>
    </row>
    <row r="23" spans="1:19" x14ac:dyDescent="0.2">
      <c r="A23" t="s">
        <v>24</v>
      </c>
      <c r="B23">
        <v>0</v>
      </c>
      <c r="C23">
        <v>0</v>
      </c>
      <c r="D23">
        <v>0</v>
      </c>
      <c r="E23">
        <v>57</v>
      </c>
      <c r="G23">
        <v>0</v>
      </c>
      <c r="H23">
        <v>0</v>
      </c>
      <c r="I23">
        <v>0</v>
      </c>
      <c r="J23">
        <v>82</v>
      </c>
      <c r="L23">
        <v>0</v>
      </c>
      <c r="M23">
        <v>0</v>
      </c>
      <c r="N23">
        <v>0</v>
      </c>
      <c r="O23">
        <v>53</v>
      </c>
      <c r="Q23">
        <f t="shared" ref="Q23:Q28" si="8">AVERAGE(I23,D23,N23)</f>
        <v>0</v>
      </c>
      <c r="R23">
        <f t="shared" si="6"/>
        <v>0</v>
      </c>
      <c r="S23">
        <f t="shared" si="7"/>
        <v>0</v>
      </c>
    </row>
    <row r="24" spans="1:19" x14ac:dyDescent="0.2">
      <c r="A24" t="s">
        <v>9</v>
      </c>
      <c r="B24">
        <v>0</v>
      </c>
      <c r="C24">
        <v>0</v>
      </c>
      <c r="D24">
        <v>0</v>
      </c>
      <c r="E24">
        <v>59</v>
      </c>
      <c r="G24">
        <v>0</v>
      </c>
      <c r="H24">
        <v>0</v>
      </c>
      <c r="I24">
        <v>0</v>
      </c>
      <c r="J24">
        <v>70</v>
      </c>
      <c r="L24">
        <v>0</v>
      </c>
      <c r="M24">
        <v>0</v>
      </c>
      <c r="N24">
        <v>0</v>
      </c>
      <c r="O24">
        <v>101</v>
      </c>
      <c r="Q24">
        <f t="shared" si="8"/>
        <v>0</v>
      </c>
      <c r="R24">
        <f t="shared" si="6"/>
        <v>0</v>
      </c>
      <c r="S24">
        <f t="shared" si="7"/>
        <v>0</v>
      </c>
    </row>
    <row r="25" spans="1:19" x14ac:dyDescent="0.2">
      <c r="A25" t="s">
        <v>25</v>
      </c>
      <c r="B25">
        <v>0</v>
      </c>
      <c r="C25">
        <v>0</v>
      </c>
      <c r="D25">
        <v>0</v>
      </c>
      <c r="E25">
        <v>52</v>
      </c>
      <c r="G25">
        <v>0</v>
      </c>
      <c r="H25">
        <v>0</v>
      </c>
      <c r="I25">
        <v>0</v>
      </c>
      <c r="J25">
        <v>67</v>
      </c>
      <c r="L25">
        <v>0</v>
      </c>
      <c r="M25">
        <v>0</v>
      </c>
      <c r="N25">
        <v>0</v>
      </c>
      <c r="O25">
        <v>35</v>
      </c>
      <c r="Q25">
        <f t="shared" si="8"/>
        <v>0</v>
      </c>
      <c r="R25">
        <f t="shared" si="6"/>
        <v>0</v>
      </c>
      <c r="S25">
        <f t="shared" si="7"/>
        <v>0</v>
      </c>
    </row>
    <row r="26" spans="1:19" x14ac:dyDescent="0.2">
      <c r="A26" t="s">
        <v>6</v>
      </c>
      <c r="B26">
        <v>59</v>
      </c>
      <c r="C26">
        <v>59</v>
      </c>
      <c r="D26">
        <f>(B26/C26)*100</f>
        <v>100</v>
      </c>
      <c r="E26">
        <v>59</v>
      </c>
      <c r="G26">
        <v>58</v>
      </c>
      <c r="H26">
        <v>58</v>
      </c>
      <c r="I26">
        <f>(G26/H26)*100</f>
        <v>100</v>
      </c>
      <c r="J26">
        <v>58</v>
      </c>
      <c r="L26">
        <v>76</v>
      </c>
      <c r="M26">
        <v>76</v>
      </c>
      <c r="N26">
        <f>(L26/M26)*100</f>
        <v>100</v>
      </c>
      <c r="O26">
        <v>76</v>
      </c>
      <c r="Q26">
        <f>AVERAGE(I26,D26,N26)</f>
        <v>100</v>
      </c>
      <c r="R26">
        <f t="shared" si="6"/>
        <v>0</v>
      </c>
      <c r="S26">
        <f t="shared" si="7"/>
        <v>0</v>
      </c>
    </row>
    <row r="27" spans="1:19" x14ac:dyDescent="0.2">
      <c r="A27" t="s">
        <v>16</v>
      </c>
      <c r="B27">
        <v>0</v>
      </c>
      <c r="C27">
        <v>0</v>
      </c>
      <c r="D27">
        <v>0</v>
      </c>
      <c r="E27">
        <v>59</v>
      </c>
      <c r="G27">
        <v>0</v>
      </c>
      <c r="H27">
        <v>0</v>
      </c>
      <c r="I27">
        <v>0</v>
      </c>
      <c r="J27">
        <v>56</v>
      </c>
      <c r="L27">
        <v>0</v>
      </c>
      <c r="M27">
        <v>0</v>
      </c>
      <c r="N27">
        <v>0</v>
      </c>
      <c r="O27">
        <v>43</v>
      </c>
      <c r="Q27">
        <f t="shared" si="8"/>
        <v>0</v>
      </c>
      <c r="R27">
        <f t="shared" si="6"/>
        <v>0</v>
      </c>
      <c r="S27">
        <f t="shared" si="7"/>
        <v>0</v>
      </c>
    </row>
    <row r="28" spans="1:19" x14ac:dyDescent="0.2">
      <c r="A28" t="s">
        <v>7</v>
      </c>
      <c r="B28">
        <v>50</v>
      </c>
      <c r="C28">
        <v>76</v>
      </c>
      <c r="D28">
        <f>(B28/C28)*100</f>
        <v>65.789473684210535</v>
      </c>
      <c r="E28">
        <v>76</v>
      </c>
      <c r="G28">
        <v>79</v>
      </c>
      <c r="H28">
        <v>79</v>
      </c>
      <c r="I28">
        <v>100</v>
      </c>
      <c r="J28">
        <v>79</v>
      </c>
      <c r="L28">
        <v>104</v>
      </c>
      <c r="M28">
        <v>114</v>
      </c>
      <c r="N28">
        <f>(L28/M28)*100</f>
        <v>91.228070175438589</v>
      </c>
      <c r="O28">
        <v>114</v>
      </c>
      <c r="Q28">
        <f t="shared" si="8"/>
        <v>85.672514619883032</v>
      </c>
      <c r="R28">
        <f t="shared" si="6"/>
        <v>14.50834646790095</v>
      </c>
      <c r="S28">
        <f t="shared" si="7"/>
        <v>8.3763977387389694</v>
      </c>
    </row>
    <row r="30" spans="1:19" x14ac:dyDescent="0.2">
      <c r="B30" s="14" t="s">
        <v>368</v>
      </c>
      <c r="C30" s="14" t="s">
        <v>369</v>
      </c>
      <c r="D30" s="14" t="s">
        <v>370</v>
      </c>
      <c r="E30" s="14" t="s">
        <v>84</v>
      </c>
      <c r="G30" s="14" t="s">
        <v>368</v>
      </c>
      <c r="H30" s="14" t="s">
        <v>369</v>
      </c>
      <c r="I30" s="14" t="s">
        <v>370</v>
      </c>
      <c r="J30" s="14" t="s">
        <v>84</v>
      </c>
      <c r="L30" s="14" t="s">
        <v>368</v>
      </c>
      <c r="M30" s="14" t="s">
        <v>369</v>
      </c>
      <c r="N30" s="14" t="s">
        <v>370</v>
      </c>
      <c r="O30" s="14" t="s">
        <v>84</v>
      </c>
      <c r="Q30" s="149" t="s">
        <v>371</v>
      </c>
      <c r="R30" s="149" t="s">
        <v>63</v>
      </c>
      <c r="S30" s="149" t="s">
        <v>59</v>
      </c>
    </row>
    <row r="31" spans="1:19" x14ac:dyDescent="0.2">
      <c r="A31" t="s">
        <v>22</v>
      </c>
      <c r="B31">
        <v>0</v>
      </c>
      <c r="C31">
        <v>0</v>
      </c>
      <c r="D31">
        <v>0</v>
      </c>
      <c r="E31">
        <v>54</v>
      </c>
      <c r="G31">
        <v>0</v>
      </c>
      <c r="H31">
        <v>6</v>
      </c>
      <c r="I31">
        <v>0</v>
      </c>
      <c r="J31">
        <v>61</v>
      </c>
      <c r="L31">
        <v>0</v>
      </c>
      <c r="M31">
        <v>0</v>
      </c>
      <c r="N31">
        <v>0</v>
      </c>
      <c r="O31">
        <v>45</v>
      </c>
      <c r="Q31">
        <f t="shared" ref="Q31:Q33" si="9">AVERAGE(I31,D31,N31)</f>
        <v>0</v>
      </c>
      <c r="R31">
        <f t="shared" ref="R31:R33" si="10">STDEVA(Q31,(D31),(N31),(I31))</f>
        <v>0</v>
      </c>
      <c r="S31">
        <v>0</v>
      </c>
    </row>
    <row r="32" spans="1:19" x14ac:dyDescent="0.2">
      <c r="A32" t="s">
        <v>4</v>
      </c>
      <c r="B32">
        <v>0</v>
      </c>
      <c r="C32">
        <v>32</v>
      </c>
      <c r="D32">
        <v>0</v>
      </c>
      <c r="E32">
        <v>55</v>
      </c>
      <c r="G32">
        <v>0</v>
      </c>
      <c r="H32">
        <v>45</v>
      </c>
      <c r="I32">
        <v>0</v>
      </c>
      <c r="J32">
        <v>81</v>
      </c>
      <c r="L32">
        <v>0</v>
      </c>
      <c r="M32">
        <v>28</v>
      </c>
      <c r="N32">
        <v>0</v>
      </c>
      <c r="O32">
        <v>76</v>
      </c>
      <c r="Q32">
        <f t="shared" si="9"/>
        <v>0</v>
      </c>
      <c r="R32">
        <f t="shared" si="10"/>
        <v>0</v>
      </c>
      <c r="S32">
        <v>0</v>
      </c>
    </row>
    <row r="33" spans="1:19" x14ac:dyDescent="0.2">
      <c r="A33" t="s">
        <v>23</v>
      </c>
      <c r="B33">
        <v>0</v>
      </c>
      <c r="C33">
        <v>0</v>
      </c>
      <c r="D33">
        <v>0</v>
      </c>
      <c r="E33">
        <v>54</v>
      </c>
      <c r="G33">
        <v>0</v>
      </c>
      <c r="H33">
        <v>3</v>
      </c>
      <c r="I33">
        <v>0</v>
      </c>
      <c r="J33">
        <v>66</v>
      </c>
      <c r="L33">
        <v>0</v>
      </c>
      <c r="M33">
        <v>0</v>
      </c>
      <c r="N33">
        <v>0</v>
      </c>
      <c r="O33">
        <v>51</v>
      </c>
      <c r="Q33">
        <f t="shared" si="9"/>
        <v>0</v>
      </c>
      <c r="R33">
        <f t="shared" si="10"/>
        <v>0</v>
      </c>
      <c r="S33">
        <v>0</v>
      </c>
    </row>
    <row r="34" spans="1:19" x14ac:dyDescent="0.2">
      <c r="A34" t="s">
        <v>5</v>
      </c>
      <c r="B34">
        <v>0</v>
      </c>
      <c r="C34">
        <v>37</v>
      </c>
      <c r="D34">
        <v>0</v>
      </c>
      <c r="E34">
        <v>89</v>
      </c>
      <c r="G34">
        <v>0</v>
      </c>
      <c r="H34">
        <v>32</v>
      </c>
      <c r="I34">
        <v>0</v>
      </c>
      <c r="J34">
        <v>58</v>
      </c>
      <c r="L34">
        <v>0</v>
      </c>
      <c r="M34">
        <v>25</v>
      </c>
      <c r="N34">
        <v>0</v>
      </c>
      <c r="O34">
        <v>95</v>
      </c>
      <c r="Q34">
        <f>AVERAGE(I34,D34,N34)</f>
        <v>0</v>
      </c>
      <c r="R34">
        <f t="shared" ref="R34:R42" si="11">STDEVA(Q34,(D34),(N34),(I34))</f>
        <v>0</v>
      </c>
      <c r="S34">
        <v>0</v>
      </c>
    </row>
    <row r="35" spans="1:19" x14ac:dyDescent="0.2">
      <c r="A35" t="s">
        <v>15</v>
      </c>
      <c r="B35">
        <v>0</v>
      </c>
      <c r="C35">
        <v>0</v>
      </c>
      <c r="D35">
        <v>0</v>
      </c>
      <c r="E35">
        <v>44</v>
      </c>
      <c r="G35">
        <v>0</v>
      </c>
      <c r="H35">
        <v>2</v>
      </c>
      <c r="I35">
        <v>0</v>
      </c>
      <c r="J35">
        <v>59</v>
      </c>
      <c r="L35">
        <v>0</v>
      </c>
      <c r="M35">
        <v>1</v>
      </c>
      <c r="N35">
        <v>0</v>
      </c>
      <c r="O35">
        <v>48</v>
      </c>
      <c r="Q35">
        <f>AVERAGE(I35,D35,N35)</f>
        <v>0</v>
      </c>
      <c r="R35">
        <f t="shared" si="11"/>
        <v>0</v>
      </c>
      <c r="S35">
        <v>0</v>
      </c>
    </row>
    <row r="36" spans="1:19" x14ac:dyDescent="0.2">
      <c r="A36" t="s">
        <v>13</v>
      </c>
      <c r="B36">
        <v>0</v>
      </c>
      <c r="C36">
        <v>26</v>
      </c>
      <c r="D36">
        <v>0</v>
      </c>
      <c r="E36">
        <v>69</v>
      </c>
      <c r="G36">
        <v>0</v>
      </c>
      <c r="H36">
        <v>34</v>
      </c>
      <c r="I36">
        <v>0</v>
      </c>
      <c r="J36">
        <v>76</v>
      </c>
      <c r="L36">
        <v>0</v>
      </c>
      <c r="M36">
        <v>23</v>
      </c>
      <c r="N36">
        <v>0</v>
      </c>
      <c r="O36">
        <v>100</v>
      </c>
      <c r="Q36">
        <f>AVERAGE(I36,D36,N36)</f>
        <v>0</v>
      </c>
      <c r="R36">
        <f t="shared" si="11"/>
        <v>0</v>
      </c>
      <c r="S36">
        <v>0</v>
      </c>
    </row>
    <row r="37" spans="1:19" x14ac:dyDescent="0.2">
      <c r="A37" t="s">
        <v>24</v>
      </c>
      <c r="B37">
        <v>0</v>
      </c>
      <c r="C37">
        <v>0</v>
      </c>
      <c r="D37">
        <v>0</v>
      </c>
      <c r="E37">
        <v>57</v>
      </c>
      <c r="G37">
        <v>0</v>
      </c>
      <c r="H37">
        <v>6</v>
      </c>
      <c r="I37">
        <v>0</v>
      </c>
      <c r="J37">
        <v>82</v>
      </c>
      <c r="L37">
        <v>0</v>
      </c>
      <c r="M37">
        <v>2</v>
      </c>
      <c r="N37">
        <v>0</v>
      </c>
      <c r="O37">
        <v>53</v>
      </c>
      <c r="Q37">
        <f t="shared" ref="Q37:Q42" si="12">AVERAGE(I37,D37,N37)</f>
        <v>0</v>
      </c>
      <c r="R37">
        <f t="shared" si="11"/>
        <v>0</v>
      </c>
      <c r="S37">
        <v>0</v>
      </c>
    </row>
    <row r="38" spans="1:19" x14ac:dyDescent="0.2">
      <c r="A38" t="s">
        <v>9</v>
      </c>
      <c r="B38">
        <v>0</v>
      </c>
      <c r="C38">
        <v>30</v>
      </c>
      <c r="D38">
        <v>0</v>
      </c>
      <c r="E38">
        <v>59</v>
      </c>
      <c r="G38">
        <v>0</v>
      </c>
      <c r="H38">
        <v>29</v>
      </c>
      <c r="I38">
        <v>0</v>
      </c>
      <c r="J38">
        <v>70</v>
      </c>
      <c r="L38">
        <v>0</v>
      </c>
      <c r="M38">
        <v>26</v>
      </c>
      <c r="N38">
        <v>0</v>
      </c>
      <c r="O38">
        <v>101</v>
      </c>
      <c r="Q38">
        <f t="shared" si="12"/>
        <v>0</v>
      </c>
      <c r="R38">
        <f t="shared" si="11"/>
        <v>0</v>
      </c>
      <c r="S38">
        <v>0</v>
      </c>
    </row>
    <row r="39" spans="1:19" x14ac:dyDescent="0.2">
      <c r="A39" t="s">
        <v>25</v>
      </c>
      <c r="B39">
        <v>0</v>
      </c>
      <c r="C39">
        <v>0</v>
      </c>
      <c r="D39">
        <v>0</v>
      </c>
      <c r="E39">
        <v>52</v>
      </c>
      <c r="G39">
        <v>0</v>
      </c>
      <c r="H39">
        <v>2</v>
      </c>
      <c r="I39">
        <v>0</v>
      </c>
      <c r="J39">
        <v>67</v>
      </c>
      <c r="L39">
        <v>0</v>
      </c>
      <c r="M39">
        <v>0</v>
      </c>
      <c r="N39">
        <v>0</v>
      </c>
      <c r="O39">
        <v>35</v>
      </c>
      <c r="Q39">
        <f t="shared" si="12"/>
        <v>0</v>
      </c>
      <c r="R39">
        <f t="shared" si="11"/>
        <v>0</v>
      </c>
      <c r="S39">
        <v>0</v>
      </c>
    </row>
    <row r="40" spans="1:19" x14ac:dyDescent="0.2">
      <c r="A40" t="s">
        <v>6</v>
      </c>
      <c r="B40">
        <v>0</v>
      </c>
      <c r="C40">
        <v>18</v>
      </c>
      <c r="D40">
        <v>0</v>
      </c>
      <c r="E40">
        <v>59</v>
      </c>
      <c r="G40">
        <v>0</v>
      </c>
      <c r="H40">
        <v>25</v>
      </c>
      <c r="I40">
        <v>0</v>
      </c>
      <c r="J40">
        <v>58</v>
      </c>
      <c r="L40">
        <v>0</v>
      </c>
      <c r="M40">
        <v>21</v>
      </c>
      <c r="N40">
        <v>0</v>
      </c>
      <c r="O40">
        <v>76</v>
      </c>
      <c r="Q40">
        <f>AVERAGE(I40,D40,N40)</f>
        <v>0</v>
      </c>
      <c r="R40">
        <f t="shared" si="11"/>
        <v>0</v>
      </c>
      <c r="S40">
        <v>0</v>
      </c>
    </row>
    <row r="41" spans="1:19" x14ac:dyDescent="0.2">
      <c r="A41" t="s">
        <v>16</v>
      </c>
      <c r="B41">
        <v>0</v>
      </c>
      <c r="C41">
        <v>0</v>
      </c>
      <c r="D41">
        <v>0</v>
      </c>
      <c r="E41">
        <v>59</v>
      </c>
      <c r="G41">
        <v>0</v>
      </c>
      <c r="H41">
        <v>4</v>
      </c>
      <c r="I41">
        <v>0</v>
      </c>
      <c r="J41">
        <v>56</v>
      </c>
      <c r="L41">
        <v>0</v>
      </c>
      <c r="M41">
        <v>1</v>
      </c>
      <c r="N41">
        <v>0</v>
      </c>
      <c r="O41">
        <v>43</v>
      </c>
      <c r="Q41">
        <f t="shared" si="12"/>
        <v>0</v>
      </c>
      <c r="R41">
        <f t="shared" si="11"/>
        <v>0</v>
      </c>
      <c r="S41">
        <v>0</v>
      </c>
    </row>
    <row r="42" spans="1:19" x14ac:dyDescent="0.2">
      <c r="A42" t="s">
        <v>7</v>
      </c>
      <c r="B42">
        <v>0</v>
      </c>
      <c r="C42">
        <v>27</v>
      </c>
      <c r="D42">
        <v>0</v>
      </c>
      <c r="E42">
        <v>76</v>
      </c>
      <c r="G42">
        <v>0</v>
      </c>
      <c r="H42">
        <v>34</v>
      </c>
      <c r="I42">
        <v>0</v>
      </c>
      <c r="J42">
        <v>79</v>
      </c>
      <c r="L42">
        <v>0</v>
      </c>
      <c r="M42">
        <v>39</v>
      </c>
      <c r="N42">
        <v>0</v>
      </c>
      <c r="O42">
        <v>114</v>
      </c>
      <c r="Q42">
        <f t="shared" si="12"/>
        <v>0</v>
      </c>
      <c r="R42">
        <f t="shared" si="11"/>
        <v>0</v>
      </c>
      <c r="S42">
        <v>0</v>
      </c>
    </row>
  </sheetData>
  <mergeCells count="3">
    <mergeCell ref="B1:E1"/>
    <mergeCell ref="G1:J1"/>
    <mergeCell ref="L1:O1"/>
  </mergeCells>
  <pageMargins left="0.7" right="0.7" top="0.75" bottom="0.75" header="0.3" footer="0.3"/>
  <ignoredErrors>
    <ignoredError sqref="S8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9A96-1C96-1847-9EF4-55144BAFB46E}">
  <sheetPr>
    <tabColor rgb="FF00B050"/>
  </sheetPr>
  <dimension ref="A1:K31"/>
  <sheetViews>
    <sheetView workbookViewId="0">
      <selection activeCell="N24" sqref="N24"/>
    </sheetView>
  </sheetViews>
  <sheetFormatPr baseColWidth="10" defaultRowHeight="15" x14ac:dyDescent="0.2"/>
  <cols>
    <col min="1" max="1" width="14.6640625" customWidth="1"/>
  </cols>
  <sheetData>
    <row r="1" spans="1:11" x14ac:dyDescent="0.2">
      <c r="A1" s="136" t="s">
        <v>149</v>
      </c>
      <c r="B1" s="136"/>
      <c r="C1" s="136"/>
      <c r="E1" s="136" t="s">
        <v>150</v>
      </c>
      <c r="F1" s="136"/>
      <c r="G1" s="136"/>
      <c r="I1" s="136" t="s">
        <v>151</v>
      </c>
      <c r="J1" s="136"/>
      <c r="K1" s="136"/>
    </row>
    <row r="3" spans="1:11" x14ac:dyDescent="0.2">
      <c r="A3" t="s">
        <v>142</v>
      </c>
      <c r="B3" s="42" t="s">
        <v>28</v>
      </c>
      <c r="C3" s="43" t="s">
        <v>143</v>
      </c>
      <c r="E3" t="s">
        <v>142</v>
      </c>
      <c r="F3" s="42" t="s">
        <v>28</v>
      </c>
      <c r="G3" s="43" t="s">
        <v>143</v>
      </c>
      <c r="I3" t="s">
        <v>142</v>
      </c>
      <c r="J3" s="42" t="s">
        <v>28</v>
      </c>
      <c r="K3" s="43" t="s">
        <v>143</v>
      </c>
    </row>
    <row r="4" spans="1:11" x14ac:dyDescent="0.2">
      <c r="A4" s="44" t="s">
        <v>144</v>
      </c>
      <c r="B4" s="42">
        <v>88</v>
      </c>
      <c r="C4" s="43">
        <v>60</v>
      </c>
      <c r="E4" s="45" t="s">
        <v>144</v>
      </c>
      <c r="F4" s="42">
        <v>96</v>
      </c>
      <c r="G4" s="43">
        <v>56</v>
      </c>
      <c r="I4" s="45" t="s">
        <v>144</v>
      </c>
      <c r="J4" s="42">
        <v>80</v>
      </c>
      <c r="K4" s="43">
        <v>76</v>
      </c>
    </row>
    <row r="5" spans="1:11" x14ac:dyDescent="0.2">
      <c r="A5" s="44" t="s">
        <v>145</v>
      </c>
      <c r="B5" s="42">
        <v>12</v>
      </c>
      <c r="C5" s="43">
        <v>40</v>
      </c>
      <c r="E5" s="45" t="s">
        <v>145</v>
      </c>
      <c r="F5" s="42">
        <v>4</v>
      </c>
      <c r="G5" s="43">
        <v>44</v>
      </c>
      <c r="I5" s="45" t="s">
        <v>145</v>
      </c>
      <c r="J5" s="42">
        <v>20</v>
      </c>
      <c r="K5" s="43">
        <v>24</v>
      </c>
    </row>
    <row r="6" spans="1:11" x14ac:dyDescent="0.2">
      <c r="A6" s="46" t="s">
        <v>146</v>
      </c>
      <c r="B6" s="42">
        <v>0</v>
      </c>
      <c r="C6" s="43">
        <v>0</v>
      </c>
      <c r="E6" s="47" t="s">
        <v>146</v>
      </c>
      <c r="F6" s="42">
        <v>0</v>
      </c>
      <c r="G6" s="43">
        <v>0</v>
      </c>
      <c r="I6" s="47" t="s">
        <v>146</v>
      </c>
      <c r="J6" s="42">
        <v>0</v>
      </c>
      <c r="K6" s="43">
        <v>0</v>
      </c>
    </row>
    <row r="9" spans="1:11" x14ac:dyDescent="0.2">
      <c r="A9" t="s">
        <v>147</v>
      </c>
      <c r="B9" s="42" t="s">
        <v>28</v>
      </c>
      <c r="C9" s="43" t="s">
        <v>143</v>
      </c>
      <c r="E9" t="s">
        <v>147</v>
      </c>
      <c r="F9" s="42" t="s">
        <v>28</v>
      </c>
      <c r="G9" s="43" t="s">
        <v>143</v>
      </c>
      <c r="I9" t="s">
        <v>147</v>
      </c>
      <c r="J9" s="42" t="s">
        <v>28</v>
      </c>
      <c r="K9" s="43" t="s">
        <v>143</v>
      </c>
    </row>
    <row r="10" spans="1:11" x14ac:dyDescent="0.2">
      <c r="A10" s="44" t="s">
        <v>144</v>
      </c>
      <c r="B10" s="42">
        <v>60</v>
      </c>
      <c r="C10" s="43">
        <v>40</v>
      </c>
      <c r="E10" s="45" t="s">
        <v>144</v>
      </c>
      <c r="F10" s="42">
        <v>100</v>
      </c>
      <c r="G10" s="43">
        <v>68</v>
      </c>
      <c r="I10" s="45" t="s">
        <v>144</v>
      </c>
      <c r="J10" s="42">
        <v>84</v>
      </c>
      <c r="K10" s="43">
        <v>76</v>
      </c>
    </row>
    <row r="11" spans="1:11" x14ac:dyDescent="0.2">
      <c r="A11" s="44" t="s">
        <v>145</v>
      </c>
      <c r="B11" s="42">
        <v>40</v>
      </c>
      <c r="C11" s="43">
        <v>60</v>
      </c>
      <c r="E11" s="45" t="s">
        <v>145</v>
      </c>
      <c r="F11" s="42">
        <v>0</v>
      </c>
      <c r="G11" s="43">
        <v>32</v>
      </c>
      <c r="I11" s="45" t="s">
        <v>145</v>
      </c>
      <c r="J11" s="42">
        <v>16</v>
      </c>
      <c r="K11" s="43">
        <v>24</v>
      </c>
    </row>
    <row r="12" spans="1:11" x14ac:dyDescent="0.2">
      <c r="A12" s="46" t="s">
        <v>146</v>
      </c>
      <c r="B12" s="42">
        <v>0</v>
      </c>
      <c r="C12" s="43">
        <v>0</v>
      </c>
      <c r="E12" s="47" t="s">
        <v>146</v>
      </c>
      <c r="F12" s="42">
        <v>0</v>
      </c>
      <c r="G12" s="43">
        <v>0</v>
      </c>
      <c r="I12" s="47" t="s">
        <v>146</v>
      </c>
      <c r="J12" s="42">
        <v>0</v>
      </c>
      <c r="K12" s="43">
        <v>0</v>
      </c>
    </row>
    <row r="13" spans="1:11" x14ac:dyDescent="0.2">
      <c r="A13" s="40"/>
      <c r="B13" s="41"/>
      <c r="C13" s="48"/>
      <c r="E13" s="40"/>
      <c r="F13" s="41"/>
      <c r="G13" s="48"/>
      <c r="I13" s="40"/>
      <c r="J13" s="41"/>
      <c r="K13" s="48"/>
    </row>
    <row r="15" spans="1:11" x14ac:dyDescent="0.2">
      <c r="A15" t="s">
        <v>148</v>
      </c>
      <c r="B15" s="42" t="s">
        <v>28</v>
      </c>
      <c r="C15" s="43" t="s">
        <v>143</v>
      </c>
      <c r="E15" t="s">
        <v>148</v>
      </c>
      <c r="F15" s="42" t="s">
        <v>28</v>
      </c>
      <c r="G15" s="43" t="s">
        <v>143</v>
      </c>
      <c r="I15" t="s">
        <v>148</v>
      </c>
      <c r="J15" s="42" t="s">
        <v>28</v>
      </c>
      <c r="K15" s="43" t="s">
        <v>143</v>
      </c>
    </row>
    <row r="16" spans="1:11" x14ac:dyDescent="0.2">
      <c r="A16" s="44" t="s">
        <v>144</v>
      </c>
      <c r="B16" s="42">
        <v>60</v>
      </c>
      <c r="C16" s="43">
        <v>52</v>
      </c>
      <c r="E16" s="45" t="s">
        <v>144</v>
      </c>
      <c r="F16" s="42">
        <v>88</v>
      </c>
      <c r="G16" s="43">
        <v>72</v>
      </c>
      <c r="I16" s="45" t="s">
        <v>144</v>
      </c>
      <c r="J16" s="42">
        <v>92</v>
      </c>
      <c r="K16" s="43">
        <v>68</v>
      </c>
    </row>
    <row r="17" spans="1:11" x14ac:dyDescent="0.2">
      <c r="A17" s="44" t="s">
        <v>145</v>
      </c>
      <c r="B17" s="42">
        <v>40</v>
      </c>
      <c r="C17" s="43">
        <v>40</v>
      </c>
      <c r="E17" s="45" t="s">
        <v>145</v>
      </c>
      <c r="F17" s="42">
        <v>12</v>
      </c>
      <c r="G17" s="43">
        <v>28</v>
      </c>
      <c r="I17" s="45" t="s">
        <v>145</v>
      </c>
      <c r="J17" s="42">
        <v>8</v>
      </c>
      <c r="K17" s="43">
        <v>32</v>
      </c>
    </row>
    <row r="18" spans="1:11" x14ac:dyDescent="0.2">
      <c r="A18" s="46" t="s">
        <v>146</v>
      </c>
      <c r="B18" s="42">
        <v>0</v>
      </c>
      <c r="C18" s="43">
        <v>8</v>
      </c>
      <c r="E18" s="47" t="s">
        <v>146</v>
      </c>
      <c r="F18" s="42">
        <v>0</v>
      </c>
      <c r="G18" s="43">
        <v>0</v>
      </c>
      <c r="I18" s="47" t="s">
        <v>146</v>
      </c>
      <c r="J18" s="42">
        <v>0</v>
      </c>
      <c r="K18" s="43">
        <v>0</v>
      </c>
    </row>
    <row r="21" spans="1:11" x14ac:dyDescent="0.2">
      <c r="A21" t="s">
        <v>38</v>
      </c>
      <c r="B21" s="42" t="s">
        <v>28</v>
      </c>
      <c r="C21" s="43" t="s">
        <v>143</v>
      </c>
      <c r="E21" t="s">
        <v>38</v>
      </c>
      <c r="F21" s="42" t="s">
        <v>28</v>
      </c>
      <c r="G21" s="43" t="s">
        <v>143</v>
      </c>
      <c r="I21" t="s">
        <v>38</v>
      </c>
      <c r="J21" s="42" t="s">
        <v>28</v>
      </c>
      <c r="K21" s="43" t="s">
        <v>152</v>
      </c>
    </row>
    <row r="22" spans="1:11" x14ac:dyDescent="0.2">
      <c r="A22" s="44" t="s">
        <v>144</v>
      </c>
      <c r="B22" s="49">
        <f t="shared" ref="B22:C24" si="0">AVERAGE(B4,B10,B16)</f>
        <v>69.333333333333329</v>
      </c>
      <c r="C22" s="49">
        <f t="shared" si="0"/>
        <v>50.666666666666664</v>
      </c>
      <c r="E22" s="45" t="s">
        <v>144</v>
      </c>
      <c r="F22" s="49">
        <f t="shared" ref="F22:G24" si="1">AVERAGE(F4,F10,F16)</f>
        <v>94.666666666666671</v>
      </c>
      <c r="G22" s="49">
        <f t="shared" si="1"/>
        <v>65.333333333333329</v>
      </c>
      <c r="I22" s="45" t="s">
        <v>144</v>
      </c>
      <c r="J22" s="49">
        <f t="shared" ref="J22:K24" si="2">AVERAGE(J4,J10,J16)</f>
        <v>85.333333333333329</v>
      </c>
      <c r="K22" s="49">
        <f t="shared" si="2"/>
        <v>73.333333333333329</v>
      </c>
    </row>
    <row r="23" spans="1:11" x14ac:dyDescent="0.2">
      <c r="A23" s="44" t="s">
        <v>145</v>
      </c>
      <c r="B23" s="49">
        <f t="shared" si="0"/>
        <v>30.666666666666668</v>
      </c>
      <c r="C23" s="49">
        <f t="shared" si="0"/>
        <v>46.666666666666664</v>
      </c>
      <c r="E23" s="45" t="s">
        <v>145</v>
      </c>
      <c r="F23" s="49">
        <f t="shared" si="1"/>
        <v>5.333333333333333</v>
      </c>
      <c r="G23" s="49">
        <f t="shared" si="1"/>
        <v>34.666666666666664</v>
      </c>
      <c r="I23" s="45" t="s">
        <v>145</v>
      </c>
      <c r="J23" s="49">
        <f t="shared" si="2"/>
        <v>14.666666666666666</v>
      </c>
      <c r="K23" s="49">
        <f t="shared" si="2"/>
        <v>26.666666666666668</v>
      </c>
    </row>
    <row r="24" spans="1:11" x14ac:dyDescent="0.2">
      <c r="A24" s="46" t="s">
        <v>146</v>
      </c>
      <c r="B24" s="49">
        <f t="shared" si="0"/>
        <v>0</v>
      </c>
      <c r="C24" s="49">
        <f t="shared" si="0"/>
        <v>2.6666666666666665</v>
      </c>
      <c r="E24" s="47" t="s">
        <v>146</v>
      </c>
      <c r="F24" s="49">
        <f t="shared" si="1"/>
        <v>0</v>
      </c>
      <c r="G24" s="49">
        <f t="shared" si="1"/>
        <v>0</v>
      </c>
      <c r="I24" s="47" t="s">
        <v>146</v>
      </c>
      <c r="J24" s="49">
        <f t="shared" si="2"/>
        <v>0</v>
      </c>
      <c r="K24" s="49">
        <f t="shared" si="2"/>
        <v>0</v>
      </c>
    </row>
    <row r="25" spans="1:11" x14ac:dyDescent="0.2">
      <c r="A25" s="40"/>
      <c r="B25" s="41"/>
      <c r="C25" s="41"/>
      <c r="E25" s="40"/>
      <c r="F25" s="41"/>
      <c r="G25" s="41"/>
      <c r="I25" s="40"/>
      <c r="J25" s="41"/>
      <c r="K25" s="41"/>
    </row>
    <row r="26" spans="1:11" x14ac:dyDescent="0.2">
      <c r="A26" t="s">
        <v>59</v>
      </c>
      <c r="B26" s="42" t="s">
        <v>28</v>
      </c>
      <c r="C26" s="43" t="s">
        <v>143</v>
      </c>
      <c r="D26" s="57"/>
      <c r="E26" t="s">
        <v>59</v>
      </c>
      <c r="F26" s="42" t="s">
        <v>28</v>
      </c>
      <c r="G26" s="43" t="s">
        <v>143</v>
      </c>
      <c r="I26" t="s">
        <v>59</v>
      </c>
      <c r="J26" s="42" t="s">
        <v>28</v>
      </c>
      <c r="K26" s="43" t="s">
        <v>143</v>
      </c>
    </row>
    <row r="27" spans="1:11" x14ac:dyDescent="0.2">
      <c r="A27" s="46" t="s">
        <v>146</v>
      </c>
      <c r="B27" s="50">
        <f>STDEV(B6,B12,B18)/SQRT(3)</f>
        <v>0</v>
      </c>
      <c r="C27" s="53">
        <f>STDEV(C6,C12,C18)/SQRT(3)</f>
        <v>2.666666666666667</v>
      </c>
      <c r="D27" s="56"/>
      <c r="E27" s="47" t="s">
        <v>146</v>
      </c>
      <c r="F27" s="50">
        <f>STDEV(F6,F12,F18)/SQRT(3)</f>
        <v>0</v>
      </c>
      <c r="G27" s="50">
        <f>STDEV(G6,G12,G18)/SQRT(3)</f>
        <v>0</v>
      </c>
      <c r="I27" s="46" t="s">
        <v>146</v>
      </c>
      <c r="J27" s="50">
        <f>STDEV(J6,J12,J18)/SQRT(3)</f>
        <v>0</v>
      </c>
      <c r="K27" s="50">
        <f>STDEV(K6,K12,K18)/SQRT(3)</f>
        <v>0</v>
      </c>
    </row>
    <row r="28" spans="1:11" x14ac:dyDescent="0.2">
      <c r="A28" s="51" t="s">
        <v>145</v>
      </c>
      <c r="B28" s="52">
        <f>STDEV(B5,B11,B17)/SQRT(3)</f>
        <v>9.3333333333333321</v>
      </c>
      <c r="C28" s="54">
        <f>STDEV(C5,C11,C17)/SQRT(3)</f>
        <v>6.6666666666666705</v>
      </c>
      <c r="D28" s="56"/>
      <c r="E28" s="55" t="s">
        <v>145</v>
      </c>
      <c r="F28" s="52">
        <f>STDEV(F5,F11,F17)/SQRT(3)</f>
        <v>3.5276684147527879</v>
      </c>
      <c r="G28" s="52">
        <f>STDEV(G5,G11,G17)/SQRT(3)</f>
        <v>4.8074017006186507</v>
      </c>
      <c r="H28" s="56"/>
      <c r="I28" s="51" t="s">
        <v>145</v>
      </c>
      <c r="J28" s="52">
        <f>STDEV(J5,J11,J17)/SQRT(3)</f>
        <v>3.527668414752787</v>
      </c>
      <c r="K28" s="52">
        <f>STDEV(K5,K11,K17)/SQRT(3)</f>
        <v>2.6666666666666621</v>
      </c>
    </row>
    <row r="29" spans="1:11" x14ac:dyDescent="0.2">
      <c r="A29" s="44" t="s">
        <v>144</v>
      </c>
      <c r="B29" s="50">
        <f>STDEV(B4,B10,B16)/SQRT(3)</f>
        <v>9.3333333333333286</v>
      </c>
      <c r="C29" s="53">
        <f>STDEV(C4,C10,C16)/SQRT(3)</f>
        <v>5.8118652580542358</v>
      </c>
      <c r="D29" s="56"/>
      <c r="E29" s="45" t="s">
        <v>144</v>
      </c>
      <c r="F29" s="50">
        <f>STDEV(F4,F10,F16)/SQRT(3)</f>
        <v>3.5276684147527875</v>
      </c>
      <c r="G29" s="50">
        <f>STDEV(G4,G10,G16)/SQRT(3)</f>
        <v>4.8074017006186418</v>
      </c>
      <c r="H29" s="56"/>
      <c r="I29" s="44" t="s">
        <v>144</v>
      </c>
      <c r="J29" s="50">
        <f>STDEV(J4,J10,J16)/SQRT(3)</f>
        <v>3.5276684147527875</v>
      </c>
      <c r="K29" s="50">
        <f>STDEV(K4,K10,K16)/SQRT(3)</f>
        <v>2.6666666666666665</v>
      </c>
    </row>
    <row r="30" spans="1:11" x14ac:dyDescent="0.2">
      <c r="A30" s="40"/>
      <c r="B30" s="41"/>
      <c r="C30" s="41"/>
      <c r="E30" s="40"/>
      <c r="F30" s="41"/>
      <c r="G30" s="41"/>
      <c r="I30" s="40"/>
      <c r="J30" s="41"/>
      <c r="K30" s="41"/>
    </row>
    <row r="31" spans="1:11" x14ac:dyDescent="0.2">
      <c r="A31" s="40"/>
      <c r="B31" s="41"/>
      <c r="C31" s="41"/>
      <c r="E31" s="40"/>
      <c r="F31" s="41"/>
      <c r="G31" s="41"/>
      <c r="I31" s="40"/>
      <c r="J31" s="41"/>
      <c r="K31" s="41"/>
    </row>
  </sheetData>
  <mergeCells count="3">
    <mergeCell ref="A1:C1"/>
    <mergeCell ref="E1:G1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7C50-3642-E44C-B6B9-AC4AFDB91DC0}">
  <sheetPr>
    <tabColor rgb="FF00B050"/>
  </sheetPr>
  <dimension ref="A1:U33"/>
  <sheetViews>
    <sheetView topLeftCell="A2" workbookViewId="0">
      <selection activeCell="K39" sqref="K39"/>
    </sheetView>
  </sheetViews>
  <sheetFormatPr baseColWidth="10" defaultRowHeight="15" x14ac:dyDescent="0.2"/>
  <cols>
    <col min="3" max="3" width="11.1640625" customWidth="1"/>
    <col min="5" max="5" width="9.5" customWidth="1"/>
    <col min="7" max="7" width="11.33203125" customWidth="1"/>
    <col min="9" max="9" width="8.83203125" customWidth="1"/>
    <col min="10" max="10" width="11.5" customWidth="1"/>
    <col min="11" max="11" width="14.83203125" customWidth="1"/>
    <col min="13" max="13" width="7.5" customWidth="1"/>
    <col min="15" max="15" width="13.5" customWidth="1"/>
    <col min="16" max="16" width="8.83203125" customWidth="1"/>
    <col min="18" max="18" width="11.83203125" customWidth="1"/>
  </cols>
  <sheetData>
    <row r="1" spans="1:21" x14ac:dyDescent="0.2">
      <c r="B1" s="120" t="s">
        <v>67</v>
      </c>
      <c r="C1" s="120"/>
      <c r="E1" s="59"/>
      <c r="F1" s="120" t="s">
        <v>139</v>
      </c>
      <c r="G1" s="120"/>
      <c r="J1" s="123" t="s">
        <v>191</v>
      </c>
      <c r="K1" s="123"/>
      <c r="M1" s="2"/>
      <c r="N1" s="123" t="s">
        <v>188</v>
      </c>
      <c r="O1" s="123"/>
      <c r="P1" s="2"/>
      <c r="Q1" s="121" t="s">
        <v>179</v>
      </c>
      <c r="R1" s="121"/>
    </row>
    <row r="2" spans="1:21" x14ac:dyDescent="0.2">
      <c r="B2" t="s">
        <v>82</v>
      </c>
      <c r="C2" t="s">
        <v>83</v>
      </c>
      <c r="F2" t="s">
        <v>82</v>
      </c>
      <c r="G2" t="s">
        <v>83</v>
      </c>
      <c r="J2" t="s">
        <v>82</v>
      </c>
      <c r="K2" t="s">
        <v>83</v>
      </c>
      <c r="L2" s="14" t="s">
        <v>84</v>
      </c>
      <c r="N2" t="s">
        <v>82</v>
      </c>
      <c r="O2" t="s">
        <v>83</v>
      </c>
      <c r="Q2" t="s">
        <v>82</v>
      </c>
    </row>
    <row r="3" spans="1:21" x14ac:dyDescent="0.2">
      <c r="A3" t="s">
        <v>85</v>
      </c>
      <c r="B3" s="72">
        <v>3.2342954545454559</v>
      </c>
      <c r="C3">
        <v>43</v>
      </c>
      <c r="F3" s="72">
        <v>3.8739534883720932</v>
      </c>
      <c r="G3">
        <v>44</v>
      </c>
      <c r="J3" s="71">
        <v>1.0242272727272728</v>
      </c>
      <c r="K3">
        <v>66</v>
      </c>
      <c r="L3">
        <f>K3+G3+C3</f>
        <v>153</v>
      </c>
      <c r="N3" s="71">
        <v>0.72762264150943379</v>
      </c>
      <c r="O3">
        <v>53</v>
      </c>
      <c r="Q3" s="72">
        <f>J3-J8</f>
        <v>2.7941558441558101E-2</v>
      </c>
      <c r="R3" s="72"/>
    </row>
    <row r="4" spans="1:21" x14ac:dyDescent="0.2">
      <c r="A4" t="s">
        <v>180</v>
      </c>
      <c r="B4" s="72">
        <v>5.0351249999999999</v>
      </c>
      <c r="C4">
        <v>43</v>
      </c>
      <c r="F4" s="72">
        <v>5.0913255813953491</v>
      </c>
      <c r="G4">
        <v>48</v>
      </c>
      <c r="J4" s="71">
        <v>1.3813846153846152</v>
      </c>
      <c r="K4">
        <v>65</v>
      </c>
      <c r="L4">
        <f>K4+G4+C4</f>
        <v>156</v>
      </c>
      <c r="N4" s="71">
        <v>0.72512765957446801</v>
      </c>
      <c r="O4">
        <v>47</v>
      </c>
      <c r="Q4" s="72">
        <f>J4-J9</f>
        <v>0.17009899633699632</v>
      </c>
      <c r="R4" s="72"/>
    </row>
    <row r="6" spans="1:21" x14ac:dyDescent="0.2">
      <c r="B6" s="120" t="s">
        <v>189</v>
      </c>
      <c r="C6" s="120"/>
      <c r="E6" s="59"/>
      <c r="F6" s="120" t="s">
        <v>189</v>
      </c>
      <c r="G6" s="120"/>
      <c r="J6" s="123" t="s">
        <v>190</v>
      </c>
      <c r="K6" s="123"/>
      <c r="M6" s="2"/>
      <c r="N6" s="123" t="s">
        <v>192</v>
      </c>
      <c r="O6" s="123"/>
      <c r="P6" s="2"/>
      <c r="Q6" s="121" t="s">
        <v>181</v>
      </c>
      <c r="R6" s="121"/>
    </row>
    <row r="7" spans="1:21" x14ac:dyDescent="0.2">
      <c r="B7" t="s">
        <v>82</v>
      </c>
      <c r="C7" t="s">
        <v>83</v>
      </c>
      <c r="F7" t="s">
        <v>82</v>
      </c>
      <c r="G7" t="s">
        <v>84</v>
      </c>
      <c r="J7" t="s">
        <v>82</v>
      </c>
      <c r="K7" t="s">
        <v>83</v>
      </c>
      <c r="N7" t="s">
        <v>82</v>
      </c>
      <c r="O7" t="s">
        <v>83</v>
      </c>
      <c r="Q7" t="s">
        <v>82</v>
      </c>
    </row>
    <row r="8" spans="1:21" x14ac:dyDescent="0.2">
      <c r="A8" t="s">
        <v>85</v>
      </c>
      <c r="B8" s="72">
        <v>3.1458055555555551</v>
      </c>
      <c r="C8">
        <v>34</v>
      </c>
      <c r="F8" s="72">
        <v>4.0537142857142854</v>
      </c>
      <c r="G8" s="70">
        <v>35</v>
      </c>
      <c r="J8" s="71">
        <v>0.99628571428571466</v>
      </c>
      <c r="K8">
        <v>49</v>
      </c>
      <c r="N8">
        <v>1.6088709677419353</v>
      </c>
      <c r="O8">
        <v>31</v>
      </c>
      <c r="Q8" s="72">
        <f>N3-N8</f>
        <v>-0.88124832623250149</v>
      </c>
      <c r="R8" s="72"/>
    </row>
    <row r="9" spans="1:21" x14ac:dyDescent="0.2">
      <c r="A9" t="s">
        <v>180</v>
      </c>
      <c r="B9" s="72">
        <v>4.8250400000000004</v>
      </c>
      <c r="C9">
        <v>25</v>
      </c>
      <c r="F9" s="72">
        <v>4</v>
      </c>
      <c r="G9" s="70">
        <v>53</v>
      </c>
      <c r="J9" s="71">
        <v>1.2112856190476189</v>
      </c>
      <c r="K9">
        <v>42</v>
      </c>
      <c r="N9">
        <v>1.1493200000000008</v>
      </c>
      <c r="O9">
        <v>75</v>
      </c>
      <c r="Q9" s="72">
        <f>N4-N9</f>
        <v>-0.42419234042553278</v>
      </c>
      <c r="R9" s="72"/>
    </row>
    <row r="10" spans="1:21" x14ac:dyDescent="0.2">
      <c r="B10" s="72"/>
      <c r="F10" s="72"/>
      <c r="G10" s="72"/>
      <c r="H10" s="72"/>
      <c r="J10" s="72"/>
      <c r="K10" s="71"/>
      <c r="T10" s="72"/>
    </row>
    <row r="11" spans="1:21" x14ac:dyDescent="0.2">
      <c r="B11" s="120" t="s">
        <v>182</v>
      </c>
      <c r="C11" s="120"/>
      <c r="E11" s="59"/>
      <c r="F11" s="122" t="s">
        <v>182</v>
      </c>
      <c r="G11" s="122"/>
      <c r="J11" s="76" t="s">
        <v>182</v>
      </c>
      <c r="K11" s="76"/>
      <c r="N11" s="122" t="s">
        <v>182</v>
      </c>
      <c r="O11" s="122"/>
      <c r="Q11" t="s">
        <v>28</v>
      </c>
      <c r="R11" t="s">
        <v>183</v>
      </c>
      <c r="S11" t="s">
        <v>184</v>
      </c>
    </row>
    <row r="12" spans="1:21" x14ac:dyDescent="0.2">
      <c r="B12" t="s">
        <v>82</v>
      </c>
      <c r="F12" t="s">
        <v>82</v>
      </c>
      <c r="J12" t="s">
        <v>82</v>
      </c>
      <c r="N12" t="s">
        <v>82</v>
      </c>
      <c r="Q12">
        <f>J13*S12</f>
        <v>0.16426645096835793</v>
      </c>
      <c r="R12">
        <v>1</v>
      </c>
      <c r="S12">
        <f>1/J14</f>
        <v>5.8789294559905718</v>
      </c>
      <c r="T12" t="s">
        <v>193</v>
      </c>
    </row>
    <row r="13" spans="1:21" x14ac:dyDescent="0.2">
      <c r="A13" t="s">
        <v>85</v>
      </c>
      <c r="B13" s="72">
        <f>B3-B8</f>
        <v>8.8489898989900784E-2</v>
      </c>
      <c r="C13" s="72"/>
      <c r="F13" s="73">
        <v>0</v>
      </c>
      <c r="G13" s="72"/>
      <c r="H13" s="70"/>
      <c r="J13" s="72">
        <f>J3-J8</f>
        <v>2.7941558441558101E-2</v>
      </c>
      <c r="K13" s="72"/>
      <c r="N13" s="72">
        <f>N3-N8</f>
        <v>-0.88124832623250149</v>
      </c>
      <c r="O13" s="72"/>
      <c r="Q13">
        <v>0</v>
      </c>
      <c r="R13">
        <v>0</v>
      </c>
      <c r="S13">
        <v>0</v>
      </c>
      <c r="T13" t="s">
        <v>194</v>
      </c>
    </row>
    <row r="14" spans="1:21" x14ac:dyDescent="0.2">
      <c r="A14" t="s">
        <v>180</v>
      </c>
      <c r="B14" s="72">
        <f>B4-B9</f>
        <v>0.21008499999999941</v>
      </c>
      <c r="C14" s="72"/>
      <c r="F14" s="72">
        <f>F4-F9</f>
        <v>1.0913255813953491</v>
      </c>
      <c r="G14" s="72"/>
      <c r="H14" s="70"/>
      <c r="J14" s="72">
        <f>J4-J9</f>
        <v>0.17009899633699632</v>
      </c>
      <c r="K14" s="72"/>
      <c r="N14" s="72">
        <f>N4-N9</f>
        <v>-0.42419234042553278</v>
      </c>
      <c r="O14" s="72"/>
    </row>
    <row r="15" spans="1:21" ht="16" thickBot="1" x14ac:dyDescent="0.25">
      <c r="F15" s="72"/>
      <c r="G15" s="72"/>
      <c r="H15" s="72"/>
    </row>
    <row r="16" spans="1:21" x14ac:dyDescent="0.2">
      <c r="B16" t="s">
        <v>28</v>
      </c>
      <c r="C16" t="s">
        <v>187</v>
      </c>
      <c r="D16" s="77" t="s">
        <v>184</v>
      </c>
      <c r="F16" t="s">
        <v>28</v>
      </c>
      <c r="G16" t="s">
        <v>187</v>
      </c>
      <c r="H16" s="77" t="s">
        <v>184</v>
      </c>
      <c r="J16" t="s">
        <v>28</v>
      </c>
      <c r="K16" t="s">
        <v>187</v>
      </c>
      <c r="L16" s="77" t="s">
        <v>184</v>
      </c>
      <c r="Q16" s="75"/>
      <c r="R16" s="119" t="s">
        <v>195</v>
      </c>
      <c r="S16" s="119"/>
      <c r="T16" s="59"/>
      <c r="U16" s="59"/>
    </row>
    <row r="17" spans="1:20" ht="16" thickBot="1" x14ac:dyDescent="0.25">
      <c r="B17">
        <f>B13*D17</f>
        <v>0.42120998162601342</v>
      </c>
      <c r="C17">
        <v>1</v>
      </c>
      <c r="D17" s="78">
        <f>1/B14</f>
        <v>4.7599781041007345</v>
      </c>
      <c r="F17">
        <f>F13*H17</f>
        <v>0</v>
      </c>
      <c r="G17">
        <v>1</v>
      </c>
      <c r="H17" s="78">
        <f>1/F14</f>
        <v>0.91631683252711638</v>
      </c>
      <c r="J17">
        <f>J13*L17</f>
        <v>0.16426645096835793</v>
      </c>
      <c r="K17">
        <v>1</v>
      </c>
      <c r="L17" s="78">
        <f>1/J14</f>
        <v>5.8789294559905718</v>
      </c>
      <c r="Q17" s="75"/>
    </row>
    <row r="18" spans="1:20" x14ac:dyDescent="0.2">
      <c r="F18" s="72"/>
      <c r="G18" s="72"/>
      <c r="H18" s="72"/>
      <c r="R18" t="s">
        <v>28</v>
      </c>
      <c r="S18">
        <v>0</v>
      </c>
      <c r="T18" t="s">
        <v>185</v>
      </c>
    </row>
    <row r="19" spans="1:20" x14ac:dyDescent="0.2">
      <c r="G19" s="72"/>
      <c r="H19" s="72"/>
      <c r="I19" s="72"/>
      <c r="R19" t="s">
        <v>187</v>
      </c>
      <c r="S19">
        <v>0</v>
      </c>
      <c r="T19" t="s">
        <v>185</v>
      </c>
    </row>
    <row r="20" spans="1:20" x14ac:dyDescent="0.2">
      <c r="A20" t="s">
        <v>95</v>
      </c>
      <c r="I20" t="s">
        <v>28</v>
      </c>
      <c r="J20" t="s">
        <v>187</v>
      </c>
      <c r="R20" t="s">
        <v>28</v>
      </c>
      <c r="S20">
        <f>J17</f>
        <v>0.16426645096835793</v>
      </c>
      <c r="T20" t="s">
        <v>186</v>
      </c>
    </row>
    <row r="21" spans="1:20" x14ac:dyDescent="0.2">
      <c r="I21">
        <f>AVERAGE(J17,F17,B17)</f>
        <v>0.19515881086479045</v>
      </c>
      <c r="J21">
        <f>AVERAGE(K17,G17,C17)</f>
        <v>1</v>
      </c>
      <c r="K21" s="14" t="s">
        <v>100</v>
      </c>
      <c r="P21" s="14"/>
      <c r="R21" t="s">
        <v>187</v>
      </c>
      <c r="S21">
        <v>1</v>
      </c>
      <c r="T21" t="s">
        <v>186</v>
      </c>
    </row>
    <row r="22" spans="1:20" ht="16" thickBot="1" x14ac:dyDescent="0.25">
      <c r="A22" t="s">
        <v>96</v>
      </c>
      <c r="I22" t="s">
        <v>28</v>
      </c>
      <c r="J22" t="s">
        <v>187</v>
      </c>
      <c r="K22" s="14"/>
    </row>
    <row r="23" spans="1:20" x14ac:dyDescent="0.2">
      <c r="A23" s="3" t="s">
        <v>97</v>
      </c>
      <c r="B23" s="3" t="s">
        <v>98</v>
      </c>
      <c r="C23" s="3" t="s">
        <v>99</v>
      </c>
      <c r="D23" s="3" t="s">
        <v>100</v>
      </c>
      <c r="E23" s="3" t="s">
        <v>39</v>
      </c>
      <c r="I23">
        <f>STDEV(B17,F17,J17)</f>
        <v>0.21229746955704554</v>
      </c>
      <c r="J23">
        <f>STDEV(C17,G17,K17)</f>
        <v>0</v>
      </c>
      <c r="K23" s="14" t="s">
        <v>63</v>
      </c>
    </row>
    <row r="24" spans="1:20" x14ac:dyDescent="0.2">
      <c r="A24" t="s">
        <v>101</v>
      </c>
      <c r="B24">
        <v>3</v>
      </c>
      <c r="C24">
        <v>0.58547643259437132</v>
      </c>
      <c r="D24">
        <v>0.19515881086479045</v>
      </c>
      <c r="E24">
        <v>4.5070215580324681E-2</v>
      </c>
      <c r="I24">
        <f>I23/SQRT(3)</f>
        <v>0.12257000119703663</v>
      </c>
      <c r="J24">
        <f>J23/SQRT(3)</f>
        <v>0</v>
      </c>
      <c r="K24" s="14" t="s">
        <v>59</v>
      </c>
    </row>
    <row r="25" spans="1:20" ht="16" thickBot="1" x14ac:dyDescent="0.25">
      <c r="A25" s="4" t="s">
        <v>102</v>
      </c>
      <c r="B25" s="4">
        <v>3</v>
      </c>
      <c r="C25" s="4">
        <v>3</v>
      </c>
      <c r="D25" s="4">
        <v>1</v>
      </c>
      <c r="E25" s="4">
        <v>0</v>
      </c>
    </row>
    <row r="26" spans="1:20" x14ac:dyDescent="0.2">
      <c r="N26" s="59"/>
      <c r="O26" s="59"/>
      <c r="S26" s="59"/>
      <c r="T26" s="59"/>
    </row>
    <row r="27" spans="1:20" x14ac:dyDescent="0.2">
      <c r="I27" s="16" t="s">
        <v>71</v>
      </c>
      <c r="J27">
        <v>2.7830014251860012E-3</v>
      </c>
    </row>
    <row r="28" spans="1:20" ht="16" thickBot="1" x14ac:dyDescent="0.25">
      <c r="A28" t="s">
        <v>103</v>
      </c>
    </row>
    <row r="29" spans="1:20" x14ac:dyDescent="0.2">
      <c r="A29" s="3" t="s">
        <v>104</v>
      </c>
      <c r="B29" s="3" t="s">
        <v>105</v>
      </c>
      <c r="C29" s="3" t="s">
        <v>106</v>
      </c>
      <c r="D29" s="3" t="s">
        <v>107</v>
      </c>
      <c r="E29" s="3" t="s">
        <v>49</v>
      </c>
      <c r="F29" s="3" t="s">
        <v>108</v>
      </c>
      <c r="G29" s="3" t="s">
        <v>109</v>
      </c>
    </row>
    <row r="30" spans="1:20" x14ac:dyDescent="0.2">
      <c r="A30" t="s">
        <v>110</v>
      </c>
      <c r="B30">
        <v>0.97165400959286718</v>
      </c>
      <c r="C30">
        <v>1</v>
      </c>
      <c r="D30">
        <v>0.97165400959286718</v>
      </c>
      <c r="E30">
        <v>43.117344662404548</v>
      </c>
      <c r="F30">
        <v>2.7830014251860012E-3</v>
      </c>
      <c r="G30">
        <v>7.708647422176786</v>
      </c>
    </row>
    <row r="31" spans="1:20" x14ac:dyDescent="0.2">
      <c r="A31" t="s">
        <v>111</v>
      </c>
      <c r="B31">
        <v>9.0140431160649348E-2</v>
      </c>
      <c r="C31">
        <v>4</v>
      </c>
      <c r="D31">
        <v>2.2535107790162337E-2</v>
      </c>
      <c r="I31" s="114" t="s">
        <v>425</v>
      </c>
      <c r="J31" s="114"/>
    </row>
    <row r="32" spans="1:20" x14ac:dyDescent="0.2">
      <c r="I32" s="11" t="s">
        <v>54</v>
      </c>
      <c r="J32" s="12"/>
    </row>
    <row r="33" spans="1:7" ht="16" thickBot="1" x14ac:dyDescent="0.25">
      <c r="A33" s="4" t="s">
        <v>55</v>
      </c>
      <c r="B33" s="4">
        <v>1.0617944407535165</v>
      </c>
      <c r="C33" s="4">
        <v>5</v>
      </c>
      <c r="D33" s="4"/>
      <c r="E33" s="4"/>
      <c r="F33" s="4"/>
      <c r="G33" s="4"/>
    </row>
  </sheetData>
  <mergeCells count="15">
    <mergeCell ref="I31:J31"/>
    <mergeCell ref="R16:S16"/>
    <mergeCell ref="F1:G1"/>
    <mergeCell ref="F6:G6"/>
    <mergeCell ref="F11:G11"/>
    <mergeCell ref="N11:O11"/>
    <mergeCell ref="N6:O6"/>
    <mergeCell ref="N1:O1"/>
    <mergeCell ref="J6:K6"/>
    <mergeCell ref="J1:K1"/>
    <mergeCell ref="B1:C1"/>
    <mergeCell ref="B6:C6"/>
    <mergeCell ref="B11:C11"/>
    <mergeCell ref="Q1:R1"/>
    <mergeCell ref="Q6:R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2876-2AA2-2B4E-B6E4-F62FCA2E70A4}">
  <sheetPr>
    <tabColor rgb="FF00B050"/>
  </sheetPr>
  <dimension ref="A1:V80"/>
  <sheetViews>
    <sheetView zoomScale="90" zoomScaleNormal="90" workbookViewId="0">
      <selection activeCell="N1" sqref="N1:Q1"/>
    </sheetView>
  </sheetViews>
  <sheetFormatPr baseColWidth="10" defaultRowHeight="15" x14ac:dyDescent="0.2"/>
  <cols>
    <col min="1" max="1" width="20" customWidth="1"/>
    <col min="2" max="2" width="11.83203125" customWidth="1"/>
    <col min="3" max="3" width="11" customWidth="1"/>
    <col min="4" max="4" width="15.1640625" customWidth="1"/>
    <col min="5" max="5" width="10.1640625" customWidth="1"/>
    <col min="6" max="6" width="5.1640625" customWidth="1"/>
    <col min="7" max="7" width="20.6640625" customWidth="1"/>
    <col min="8" max="8" width="12.1640625" customWidth="1"/>
    <col min="9" max="9" width="9.1640625" customWidth="1"/>
    <col min="10" max="10" width="8.83203125" customWidth="1"/>
    <col min="12" max="12" width="5.83203125" customWidth="1"/>
    <col min="13" max="13" width="19.5" customWidth="1"/>
    <col min="14" max="14" width="10.5" customWidth="1"/>
    <col min="15" max="15" width="8.83203125" customWidth="1"/>
    <col min="16" max="16" width="14.33203125" customWidth="1"/>
    <col min="19" max="19" width="14.33203125" customWidth="1"/>
    <col min="20" max="20" width="12" customWidth="1"/>
    <col min="22" max="22" width="9.33203125" customWidth="1"/>
  </cols>
  <sheetData>
    <row r="1" spans="1:22" x14ac:dyDescent="0.2">
      <c r="A1" s="148"/>
      <c r="B1" s="150" t="s">
        <v>173</v>
      </c>
      <c r="C1" s="150"/>
      <c r="D1" s="150"/>
      <c r="E1" s="150"/>
      <c r="F1" s="17"/>
      <c r="G1" s="148"/>
      <c r="H1" s="150" t="s">
        <v>68</v>
      </c>
      <c r="I1" s="150"/>
      <c r="J1" s="150"/>
      <c r="K1" s="150"/>
      <c r="L1" s="17"/>
      <c r="M1" s="148"/>
      <c r="N1" s="150" t="s">
        <v>68</v>
      </c>
      <c r="O1" s="150"/>
      <c r="P1" s="150"/>
      <c r="Q1" s="150"/>
      <c r="R1" s="108"/>
      <c r="S1" s="17"/>
      <c r="T1" s="103" t="s">
        <v>363</v>
      </c>
      <c r="U1" s="103" t="s">
        <v>63</v>
      </c>
      <c r="V1" s="103" t="s">
        <v>59</v>
      </c>
    </row>
    <row r="2" spans="1:22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">
      <c r="A3" s="17"/>
      <c r="B3" s="14" t="s">
        <v>361</v>
      </c>
      <c r="C3" s="14" t="s">
        <v>14</v>
      </c>
      <c r="D3" s="14" t="s">
        <v>362</v>
      </c>
      <c r="E3" s="14" t="s">
        <v>84</v>
      </c>
      <c r="F3" s="17"/>
      <c r="G3" s="17" t="s">
        <v>12</v>
      </c>
      <c r="H3" s="14" t="s">
        <v>361</v>
      </c>
      <c r="I3" s="14" t="s">
        <v>14</v>
      </c>
      <c r="J3" s="14" t="s">
        <v>362</v>
      </c>
      <c r="K3" s="14" t="s">
        <v>84</v>
      </c>
      <c r="L3" s="17"/>
      <c r="M3" s="17" t="s">
        <v>12</v>
      </c>
      <c r="N3" s="14" t="s">
        <v>361</v>
      </c>
      <c r="O3" s="14" t="s">
        <v>14</v>
      </c>
      <c r="P3" s="14" t="s">
        <v>362</v>
      </c>
      <c r="Q3" s="14" t="s">
        <v>84</v>
      </c>
      <c r="R3" s="17"/>
      <c r="S3" s="17"/>
      <c r="T3" s="17" t="s">
        <v>0</v>
      </c>
      <c r="U3" s="17"/>
      <c r="V3" s="17"/>
    </row>
    <row r="4" spans="1:22" x14ac:dyDescent="0.2">
      <c r="A4" s="17" t="s">
        <v>72</v>
      </c>
      <c r="B4" s="17">
        <v>0</v>
      </c>
      <c r="C4" s="17">
        <v>0</v>
      </c>
      <c r="D4" s="17">
        <v>0</v>
      </c>
      <c r="E4" s="17">
        <v>100</v>
      </c>
      <c r="F4" s="17"/>
      <c r="G4" s="17" t="s">
        <v>72</v>
      </c>
      <c r="H4" s="17">
        <v>0</v>
      </c>
      <c r="I4" s="17">
        <v>0</v>
      </c>
      <c r="J4" s="17">
        <v>0</v>
      </c>
      <c r="K4" s="17">
        <v>100</v>
      </c>
      <c r="L4" s="17"/>
      <c r="M4" s="17" t="s">
        <v>72</v>
      </c>
      <c r="N4" s="17">
        <v>0</v>
      </c>
      <c r="O4" s="17">
        <v>0</v>
      </c>
      <c r="P4" s="17">
        <v>0</v>
      </c>
      <c r="Q4" s="17">
        <v>100</v>
      </c>
      <c r="R4" s="17"/>
      <c r="S4" s="17" t="s">
        <v>79</v>
      </c>
      <c r="T4" s="17">
        <v>0</v>
      </c>
      <c r="U4" s="17">
        <v>0</v>
      </c>
      <c r="V4" s="17">
        <v>0</v>
      </c>
    </row>
    <row r="5" spans="1:22" x14ac:dyDescent="0.2">
      <c r="A5" s="17" t="s">
        <v>73</v>
      </c>
      <c r="B5" s="17">
        <v>0</v>
      </c>
      <c r="C5" s="17">
        <v>10</v>
      </c>
      <c r="D5" s="17">
        <v>0</v>
      </c>
      <c r="E5" s="17">
        <v>59</v>
      </c>
      <c r="F5" s="17"/>
      <c r="G5" s="17" t="s">
        <v>73</v>
      </c>
      <c r="H5" s="17">
        <v>0</v>
      </c>
      <c r="I5" s="17">
        <v>15</v>
      </c>
      <c r="J5" s="17">
        <v>0</v>
      </c>
      <c r="K5" s="17">
        <v>72</v>
      </c>
      <c r="L5" s="17"/>
      <c r="M5" s="17" t="s">
        <v>73</v>
      </c>
      <c r="N5" s="17">
        <v>0</v>
      </c>
      <c r="O5" s="17">
        <v>3</v>
      </c>
      <c r="P5" s="17">
        <v>0</v>
      </c>
      <c r="Q5" s="17">
        <v>72</v>
      </c>
      <c r="R5" s="17"/>
      <c r="S5" s="17" t="s">
        <v>80</v>
      </c>
      <c r="T5" s="17">
        <v>0</v>
      </c>
      <c r="U5" s="17">
        <v>0</v>
      </c>
      <c r="V5" s="17">
        <v>0</v>
      </c>
    </row>
    <row r="6" spans="1:22" x14ac:dyDescent="0.2">
      <c r="A6" s="17" t="s">
        <v>74</v>
      </c>
      <c r="B6" s="17">
        <v>0</v>
      </c>
      <c r="C6" s="17">
        <v>0</v>
      </c>
      <c r="D6" s="17">
        <v>0</v>
      </c>
      <c r="E6" s="17">
        <v>100</v>
      </c>
      <c r="F6" s="17"/>
      <c r="G6" s="17" t="s">
        <v>74</v>
      </c>
      <c r="H6" s="17">
        <v>0</v>
      </c>
      <c r="I6" s="17">
        <v>0</v>
      </c>
      <c r="J6" s="17">
        <v>0</v>
      </c>
      <c r="K6" s="17">
        <v>100</v>
      </c>
      <c r="L6" s="17"/>
      <c r="M6" s="17" t="s">
        <v>74</v>
      </c>
      <c r="N6" s="17">
        <v>0</v>
      </c>
      <c r="O6" s="17">
        <v>0</v>
      </c>
      <c r="P6" s="17">
        <v>0</v>
      </c>
      <c r="Q6" s="17">
        <v>100</v>
      </c>
      <c r="R6" s="17"/>
      <c r="S6" s="17" t="s">
        <v>74</v>
      </c>
      <c r="T6" s="17">
        <v>0</v>
      </c>
      <c r="U6" s="17">
        <v>0</v>
      </c>
      <c r="V6" s="17">
        <v>0</v>
      </c>
    </row>
    <row r="7" spans="1:22" x14ac:dyDescent="0.2">
      <c r="A7" s="17" t="s">
        <v>75</v>
      </c>
      <c r="B7" s="17">
        <v>0</v>
      </c>
      <c r="C7" s="17">
        <v>15</v>
      </c>
      <c r="D7" s="17">
        <v>0</v>
      </c>
      <c r="E7" s="17">
        <v>74</v>
      </c>
      <c r="F7" s="17"/>
      <c r="G7" s="17" t="s">
        <v>75</v>
      </c>
      <c r="H7" s="17">
        <v>0</v>
      </c>
      <c r="I7" s="17">
        <v>10</v>
      </c>
      <c r="J7" s="17">
        <v>0</v>
      </c>
      <c r="K7" s="17">
        <v>51</v>
      </c>
      <c r="L7" s="17"/>
      <c r="M7" s="17" t="s">
        <v>75</v>
      </c>
      <c r="N7" s="17">
        <v>0</v>
      </c>
      <c r="O7" s="17">
        <v>33</v>
      </c>
      <c r="P7" s="17">
        <v>0</v>
      </c>
      <c r="Q7" s="17">
        <v>103</v>
      </c>
      <c r="R7" s="17"/>
      <c r="S7" s="17" t="s">
        <v>75</v>
      </c>
      <c r="T7" s="17">
        <v>0</v>
      </c>
      <c r="U7" s="17">
        <v>0</v>
      </c>
      <c r="V7" s="17">
        <v>0</v>
      </c>
    </row>
    <row r="8" spans="1:22" x14ac:dyDescent="0.2">
      <c r="A8" s="17" t="s">
        <v>76</v>
      </c>
      <c r="B8" s="17">
        <v>0</v>
      </c>
      <c r="C8" s="17">
        <v>0</v>
      </c>
      <c r="D8" s="17">
        <v>0</v>
      </c>
      <c r="E8" s="17">
        <v>100</v>
      </c>
      <c r="F8" s="17"/>
      <c r="G8" s="17" t="s">
        <v>76</v>
      </c>
      <c r="H8" s="17">
        <v>0</v>
      </c>
      <c r="I8" s="17">
        <v>0</v>
      </c>
      <c r="J8" s="17">
        <v>0</v>
      </c>
      <c r="K8" s="17">
        <v>100</v>
      </c>
      <c r="L8" s="17"/>
      <c r="M8" s="17" t="s">
        <v>76</v>
      </c>
      <c r="N8" s="17">
        <v>0</v>
      </c>
      <c r="O8" s="17">
        <v>0</v>
      </c>
      <c r="P8" s="17">
        <v>0</v>
      </c>
      <c r="Q8" s="17">
        <v>100</v>
      </c>
      <c r="R8" s="17"/>
      <c r="S8" s="17" t="s">
        <v>76</v>
      </c>
      <c r="T8" s="17">
        <v>0</v>
      </c>
      <c r="U8" s="17">
        <v>0</v>
      </c>
      <c r="V8" s="17">
        <v>0</v>
      </c>
    </row>
    <row r="9" spans="1:22" x14ac:dyDescent="0.2">
      <c r="A9" s="17" t="s">
        <v>11</v>
      </c>
      <c r="B9" s="17">
        <v>10</v>
      </c>
      <c r="C9" s="17">
        <v>39</v>
      </c>
      <c r="D9" s="17">
        <v>25.641025599999999</v>
      </c>
      <c r="E9" s="17">
        <v>98</v>
      </c>
      <c r="F9" s="17"/>
      <c r="G9" s="17" t="s">
        <v>11</v>
      </c>
      <c r="H9" s="17">
        <v>9</v>
      </c>
      <c r="I9" s="17">
        <v>28</v>
      </c>
      <c r="J9" s="17">
        <v>32.142857100000001</v>
      </c>
      <c r="K9" s="17">
        <v>84</v>
      </c>
      <c r="L9" s="17"/>
      <c r="M9" s="17" t="s">
        <v>11</v>
      </c>
      <c r="N9" s="17">
        <v>8</v>
      </c>
      <c r="O9" s="17">
        <v>48</v>
      </c>
      <c r="P9" s="17">
        <v>16.6666667</v>
      </c>
      <c r="Q9" s="17">
        <v>100</v>
      </c>
      <c r="R9" s="17"/>
      <c r="S9" s="17" t="s">
        <v>13</v>
      </c>
      <c r="T9" s="17">
        <v>24.8168498</v>
      </c>
      <c r="U9" s="17">
        <v>6.3449490300000004</v>
      </c>
      <c r="V9" s="17">
        <v>3.6632580300000002</v>
      </c>
    </row>
    <row r="10" spans="1:22" x14ac:dyDescent="0.2">
      <c r="A10" s="17" t="s">
        <v>77</v>
      </c>
      <c r="B10" s="17">
        <v>0</v>
      </c>
      <c r="C10" s="17">
        <v>0</v>
      </c>
      <c r="D10" s="17">
        <v>0</v>
      </c>
      <c r="E10" s="17">
        <v>100</v>
      </c>
      <c r="F10" s="17"/>
      <c r="G10" s="17" t="s">
        <v>77</v>
      </c>
      <c r="H10" s="17">
        <v>0</v>
      </c>
      <c r="I10" s="17">
        <v>0</v>
      </c>
      <c r="J10" s="17">
        <v>0</v>
      </c>
      <c r="K10" s="17">
        <v>100</v>
      </c>
      <c r="L10" s="17"/>
      <c r="M10" s="17" t="s">
        <v>77</v>
      </c>
      <c r="N10" s="17">
        <v>0</v>
      </c>
      <c r="O10" s="17">
        <v>0</v>
      </c>
      <c r="P10" s="17">
        <v>0</v>
      </c>
      <c r="Q10" s="17">
        <v>100</v>
      </c>
      <c r="R10" s="17"/>
      <c r="S10" s="17" t="s">
        <v>77</v>
      </c>
      <c r="T10" s="17">
        <v>0</v>
      </c>
      <c r="U10" s="17">
        <v>0</v>
      </c>
      <c r="V10" s="17">
        <v>0</v>
      </c>
    </row>
    <row r="11" spans="1:22" x14ac:dyDescent="0.2">
      <c r="A11" s="17" t="s">
        <v>78</v>
      </c>
      <c r="B11" s="17">
        <v>10</v>
      </c>
      <c r="C11" s="17">
        <v>32</v>
      </c>
      <c r="D11" s="17">
        <v>31.25</v>
      </c>
      <c r="E11" s="17">
        <v>72</v>
      </c>
      <c r="F11" s="17"/>
      <c r="G11" s="17" t="s">
        <v>78</v>
      </c>
      <c r="H11" s="17">
        <v>9</v>
      </c>
      <c r="I11" s="17">
        <v>21</v>
      </c>
      <c r="J11" s="17">
        <v>42.857142899999999</v>
      </c>
      <c r="K11" s="17">
        <v>57</v>
      </c>
      <c r="L11" s="17"/>
      <c r="M11" s="17" t="s">
        <v>78</v>
      </c>
      <c r="N11" s="17">
        <v>10</v>
      </c>
      <c r="O11" s="17">
        <v>37</v>
      </c>
      <c r="P11" s="17">
        <v>27.027027</v>
      </c>
      <c r="Q11" s="17">
        <v>61</v>
      </c>
      <c r="R11" s="17"/>
      <c r="S11" s="17" t="s">
        <v>78</v>
      </c>
      <c r="T11" s="17">
        <v>33.711390000000002</v>
      </c>
      <c r="U11" s="17">
        <v>6.6928804099999999</v>
      </c>
      <c r="V11" s="17">
        <v>3.8641363000000002</v>
      </c>
    </row>
    <row r="12" spans="1:22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x14ac:dyDescent="0.2">
      <c r="A13" s="17"/>
      <c r="B13" s="14" t="s">
        <v>364</v>
      </c>
      <c r="C13" s="14" t="s">
        <v>365</v>
      </c>
      <c r="D13" s="14" t="s">
        <v>366</v>
      </c>
      <c r="E13" s="14" t="s">
        <v>84</v>
      </c>
      <c r="F13" s="17"/>
      <c r="G13" s="17" t="s">
        <v>12</v>
      </c>
      <c r="H13" s="14" t="s">
        <v>364</v>
      </c>
      <c r="I13" s="14" t="s">
        <v>365</v>
      </c>
      <c r="J13" s="14" t="s">
        <v>366</v>
      </c>
      <c r="K13" s="14" t="s">
        <v>84</v>
      </c>
      <c r="L13" s="17"/>
      <c r="M13" s="17" t="s">
        <v>12</v>
      </c>
      <c r="N13" s="14" t="s">
        <v>364</v>
      </c>
      <c r="O13" s="14" t="s">
        <v>365</v>
      </c>
      <c r="P13" s="14" t="s">
        <v>366</v>
      </c>
      <c r="Q13" s="14" t="s">
        <v>84</v>
      </c>
      <c r="R13" s="17"/>
      <c r="S13" s="17"/>
      <c r="T13" s="149" t="s">
        <v>367</v>
      </c>
      <c r="U13" s="149" t="s">
        <v>63</v>
      </c>
      <c r="V13" s="149" t="s">
        <v>59</v>
      </c>
    </row>
    <row r="14" spans="1:22" x14ac:dyDescent="0.2">
      <c r="A14" s="17" t="s">
        <v>72</v>
      </c>
      <c r="B14" s="17">
        <v>0</v>
      </c>
      <c r="C14" s="17">
        <v>0</v>
      </c>
      <c r="D14" s="17">
        <v>0</v>
      </c>
      <c r="E14" s="17">
        <v>100</v>
      </c>
      <c r="F14" s="17"/>
      <c r="G14" s="17" t="s">
        <v>72</v>
      </c>
      <c r="H14" s="17">
        <v>0</v>
      </c>
      <c r="I14" s="17">
        <v>0</v>
      </c>
      <c r="J14" s="17">
        <v>0</v>
      </c>
      <c r="K14" s="17">
        <v>100</v>
      </c>
      <c r="L14" s="17"/>
      <c r="M14" s="17" t="s">
        <v>72</v>
      </c>
      <c r="N14" s="17">
        <v>0</v>
      </c>
      <c r="O14" s="17">
        <v>0</v>
      </c>
      <c r="P14" s="17">
        <v>0</v>
      </c>
      <c r="Q14" s="17">
        <v>100</v>
      </c>
      <c r="R14" s="17"/>
      <c r="S14" s="17" t="s">
        <v>79</v>
      </c>
      <c r="T14" s="17">
        <v>0</v>
      </c>
      <c r="U14" s="17">
        <v>0</v>
      </c>
      <c r="V14" s="17">
        <v>0</v>
      </c>
    </row>
    <row r="15" spans="1:22" x14ac:dyDescent="0.2">
      <c r="A15" s="17" t="s">
        <v>73</v>
      </c>
      <c r="B15" s="17">
        <v>0</v>
      </c>
      <c r="C15" s="17">
        <v>0</v>
      </c>
      <c r="D15" s="17">
        <v>0</v>
      </c>
      <c r="E15" s="17">
        <v>59</v>
      </c>
      <c r="F15" s="17"/>
      <c r="G15" s="17" t="s">
        <v>73</v>
      </c>
      <c r="H15" s="17">
        <v>0</v>
      </c>
      <c r="I15" s="17">
        <v>0</v>
      </c>
      <c r="J15" s="17">
        <v>0</v>
      </c>
      <c r="K15" s="17">
        <v>72</v>
      </c>
      <c r="L15" s="17"/>
      <c r="M15" s="17" t="s">
        <v>73</v>
      </c>
      <c r="N15" s="17">
        <v>0</v>
      </c>
      <c r="O15" s="17">
        <v>0</v>
      </c>
      <c r="P15" s="17">
        <v>0</v>
      </c>
      <c r="Q15" s="17">
        <v>72</v>
      </c>
      <c r="R15" s="17"/>
      <c r="S15" s="17" t="s">
        <v>80</v>
      </c>
      <c r="T15" s="17">
        <v>0</v>
      </c>
      <c r="U15" s="17">
        <v>0</v>
      </c>
      <c r="V15" s="17">
        <v>0</v>
      </c>
    </row>
    <row r="16" spans="1:22" x14ac:dyDescent="0.2">
      <c r="A16" s="17" t="s">
        <v>74</v>
      </c>
      <c r="B16" s="17">
        <v>0</v>
      </c>
      <c r="C16" s="17">
        <v>0</v>
      </c>
      <c r="D16" s="17">
        <v>0</v>
      </c>
      <c r="E16" s="17">
        <v>100</v>
      </c>
      <c r="F16" s="17"/>
      <c r="G16" s="17" t="s">
        <v>74</v>
      </c>
      <c r="H16" s="17">
        <v>0</v>
      </c>
      <c r="I16" s="17">
        <v>0</v>
      </c>
      <c r="J16" s="17">
        <v>0</v>
      </c>
      <c r="K16" s="17">
        <v>100</v>
      </c>
      <c r="L16" s="17"/>
      <c r="M16" s="17" t="s">
        <v>74</v>
      </c>
      <c r="N16" s="17">
        <v>0</v>
      </c>
      <c r="O16" s="17">
        <v>0</v>
      </c>
      <c r="P16" s="17">
        <v>0</v>
      </c>
      <c r="Q16" s="17">
        <v>100</v>
      </c>
      <c r="R16" s="17"/>
      <c r="S16" s="17" t="s">
        <v>74</v>
      </c>
      <c r="T16" s="17">
        <v>0</v>
      </c>
      <c r="U16" s="17">
        <v>0</v>
      </c>
      <c r="V16" s="17">
        <v>0</v>
      </c>
    </row>
    <row r="17" spans="1:22" x14ac:dyDescent="0.2">
      <c r="A17" s="17" t="s">
        <v>75</v>
      </c>
      <c r="B17" s="17">
        <v>0</v>
      </c>
      <c r="C17" s="17">
        <v>0</v>
      </c>
      <c r="D17" s="17">
        <v>0</v>
      </c>
      <c r="E17" s="17">
        <v>74</v>
      </c>
      <c r="F17" s="17"/>
      <c r="G17" s="17" t="s">
        <v>75</v>
      </c>
      <c r="H17" s="17">
        <v>0</v>
      </c>
      <c r="I17" s="17">
        <v>0</v>
      </c>
      <c r="J17" s="17">
        <v>0</v>
      </c>
      <c r="K17" s="17">
        <v>51</v>
      </c>
      <c r="L17" s="17"/>
      <c r="M17" s="17" t="s">
        <v>75</v>
      </c>
      <c r="N17" s="17">
        <v>0</v>
      </c>
      <c r="O17" s="17">
        <v>0</v>
      </c>
      <c r="P17" s="17">
        <v>0</v>
      </c>
      <c r="Q17" s="17">
        <v>103</v>
      </c>
      <c r="R17" s="17"/>
      <c r="S17" s="17" t="s">
        <v>75</v>
      </c>
      <c r="T17" s="17">
        <v>0</v>
      </c>
      <c r="U17" s="17">
        <v>0</v>
      </c>
      <c r="V17" s="17">
        <v>0</v>
      </c>
    </row>
    <row r="18" spans="1:22" x14ac:dyDescent="0.2">
      <c r="A18" s="17" t="s">
        <v>76</v>
      </c>
      <c r="B18" s="17">
        <v>0</v>
      </c>
      <c r="C18" s="17">
        <v>0</v>
      </c>
      <c r="D18" s="17">
        <v>0</v>
      </c>
      <c r="E18" s="17">
        <v>100</v>
      </c>
      <c r="F18" s="17"/>
      <c r="G18" s="17" t="s">
        <v>76</v>
      </c>
      <c r="H18" s="17">
        <v>0</v>
      </c>
      <c r="I18" s="17">
        <v>0</v>
      </c>
      <c r="J18" s="17">
        <v>0</v>
      </c>
      <c r="K18" s="17">
        <v>100</v>
      </c>
      <c r="L18" s="17"/>
      <c r="M18" s="17" t="s">
        <v>76</v>
      </c>
      <c r="N18" s="17">
        <v>0</v>
      </c>
      <c r="O18" s="17">
        <v>0</v>
      </c>
      <c r="P18" s="17">
        <v>0</v>
      </c>
      <c r="Q18" s="17">
        <v>100</v>
      </c>
      <c r="R18" s="17"/>
      <c r="S18" s="17" t="s">
        <v>76</v>
      </c>
      <c r="T18" s="17">
        <v>0</v>
      </c>
      <c r="U18" s="17">
        <v>0</v>
      </c>
      <c r="V18" s="17">
        <v>0</v>
      </c>
    </row>
    <row r="19" spans="1:22" x14ac:dyDescent="0.2">
      <c r="A19" s="17" t="s">
        <v>11</v>
      </c>
      <c r="B19" s="17">
        <v>96</v>
      </c>
      <c r="C19" s="17">
        <v>96</v>
      </c>
      <c r="D19" s="17">
        <v>100</v>
      </c>
      <c r="E19" s="17">
        <v>98</v>
      </c>
      <c r="F19" s="17"/>
      <c r="G19" s="17" t="s">
        <v>11</v>
      </c>
      <c r="H19" s="17">
        <v>83</v>
      </c>
      <c r="I19" s="17">
        <v>83</v>
      </c>
      <c r="J19" s="17">
        <v>100</v>
      </c>
      <c r="K19" s="17">
        <v>84</v>
      </c>
      <c r="L19" s="17"/>
      <c r="M19" s="17" t="s">
        <v>11</v>
      </c>
      <c r="N19" s="17">
        <v>79</v>
      </c>
      <c r="O19" s="17">
        <v>79</v>
      </c>
      <c r="P19" s="17">
        <v>100</v>
      </c>
      <c r="Q19" s="17">
        <v>100</v>
      </c>
      <c r="R19" s="17"/>
      <c r="S19" s="17" t="s">
        <v>13</v>
      </c>
      <c r="T19" s="17">
        <v>100</v>
      </c>
      <c r="U19" s="17">
        <v>0</v>
      </c>
      <c r="V19" s="17">
        <v>0</v>
      </c>
    </row>
    <row r="20" spans="1:22" x14ac:dyDescent="0.2">
      <c r="A20" s="17" t="s">
        <v>77</v>
      </c>
      <c r="B20" s="17">
        <v>0</v>
      </c>
      <c r="C20" s="17">
        <v>0</v>
      </c>
      <c r="D20" s="17">
        <v>0</v>
      </c>
      <c r="E20" s="17">
        <v>100</v>
      </c>
      <c r="F20" s="17"/>
      <c r="G20" s="17" t="s">
        <v>77</v>
      </c>
      <c r="H20" s="17">
        <v>0</v>
      </c>
      <c r="I20" s="17">
        <v>0</v>
      </c>
      <c r="J20" s="17">
        <v>0</v>
      </c>
      <c r="K20" s="17">
        <v>100</v>
      </c>
      <c r="L20" s="17"/>
      <c r="M20" s="17" t="s">
        <v>77</v>
      </c>
      <c r="N20" s="17">
        <v>0</v>
      </c>
      <c r="O20" s="17">
        <v>0</v>
      </c>
      <c r="P20" s="17">
        <v>0</v>
      </c>
      <c r="Q20" s="17">
        <v>100</v>
      </c>
      <c r="R20" s="17"/>
      <c r="S20" s="17" t="s">
        <v>77</v>
      </c>
      <c r="T20" s="17">
        <v>0</v>
      </c>
      <c r="U20" s="17">
        <v>0</v>
      </c>
      <c r="V20" s="17">
        <v>0</v>
      </c>
    </row>
    <row r="21" spans="1:22" x14ac:dyDescent="0.2">
      <c r="A21" s="17" t="s">
        <v>78</v>
      </c>
      <c r="B21" s="17">
        <v>72</v>
      </c>
      <c r="C21" s="17">
        <v>72</v>
      </c>
      <c r="D21" s="17">
        <v>100</v>
      </c>
      <c r="E21" s="17">
        <v>72</v>
      </c>
      <c r="F21" s="17"/>
      <c r="G21" s="17" t="s">
        <v>78</v>
      </c>
      <c r="H21" s="17">
        <v>57</v>
      </c>
      <c r="I21" s="17">
        <v>57</v>
      </c>
      <c r="J21" s="17">
        <v>100</v>
      </c>
      <c r="K21" s="17">
        <v>57</v>
      </c>
      <c r="L21" s="17"/>
      <c r="M21" s="17" t="s">
        <v>78</v>
      </c>
      <c r="N21" s="17">
        <v>52</v>
      </c>
      <c r="O21" s="17">
        <v>52</v>
      </c>
      <c r="P21" s="17">
        <v>100</v>
      </c>
      <c r="Q21" s="17">
        <v>61</v>
      </c>
      <c r="R21" s="17"/>
      <c r="S21" s="17" t="s">
        <v>78</v>
      </c>
      <c r="T21" s="17">
        <v>100</v>
      </c>
      <c r="U21" s="17">
        <v>0</v>
      </c>
      <c r="V21" s="17">
        <v>0</v>
      </c>
    </row>
    <row r="22" spans="1:22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R22" s="17"/>
      <c r="S22" s="17"/>
      <c r="T22" s="17"/>
      <c r="U22" s="17"/>
      <c r="V22" s="17"/>
    </row>
    <row r="23" spans="1:22" x14ac:dyDescent="0.2">
      <c r="A23" s="17"/>
      <c r="B23" s="14" t="s">
        <v>368</v>
      </c>
      <c r="C23" s="14" t="s">
        <v>369</v>
      </c>
      <c r="D23" s="14" t="s">
        <v>370</v>
      </c>
      <c r="E23" s="14" t="s">
        <v>84</v>
      </c>
      <c r="F23" s="17"/>
      <c r="G23" s="17" t="s">
        <v>19</v>
      </c>
      <c r="H23" s="14" t="s">
        <v>368</v>
      </c>
      <c r="I23" s="14" t="s">
        <v>369</v>
      </c>
      <c r="J23" s="14" t="s">
        <v>370</v>
      </c>
      <c r="K23" s="14" t="s">
        <v>84</v>
      </c>
      <c r="L23" s="17"/>
      <c r="M23" s="17" t="s">
        <v>19</v>
      </c>
      <c r="N23" s="14" t="s">
        <v>368</v>
      </c>
      <c r="O23" s="14" t="s">
        <v>369</v>
      </c>
      <c r="P23" s="14" t="s">
        <v>370</v>
      </c>
      <c r="Q23" s="14" t="s">
        <v>84</v>
      </c>
      <c r="R23" s="17"/>
      <c r="S23" s="17"/>
      <c r="T23" s="149" t="s">
        <v>371</v>
      </c>
      <c r="U23" s="149" t="s">
        <v>63</v>
      </c>
      <c r="V23" s="149" t="s">
        <v>59</v>
      </c>
    </row>
    <row r="24" spans="1:22" x14ac:dyDescent="0.2">
      <c r="A24" s="17" t="s">
        <v>72</v>
      </c>
      <c r="B24" s="17">
        <v>0</v>
      </c>
      <c r="C24" s="17">
        <v>0</v>
      </c>
      <c r="D24" s="17">
        <v>0</v>
      </c>
      <c r="E24" s="17">
        <v>100</v>
      </c>
      <c r="F24" s="17"/>
      <c r="G24" s="17" t="s">
        <v>72</v>
      </c>
      <c r="H24" s="17">
        <v>0</v>
      </c>
      <c r="I24" s="17">
        <v>0</v>
      </c>
      <c r="J24" s="17">
        <v>0</v>
      </c>
      <c r="K24" s="17">
        <v>100</v>
      </c>
      <c r="L24" s="17"/>
      <c r="M24" s="17" t="s">
        <v>72</v>
      </c>
      <c r="N24" s="17">
        <v>0</v>
      </c>
      <c r="O24" s="17">
        <v>0</v>
      </c>
      <c r="P24" s="17">
        <v>0</v>
      </c>
      <c r="Q24" s="17">
        <v>100</v>
      </c>
      <c r="R24" s="17"/>
      <c r="S24" s="17" t="s">
        <v>79</v>
      </c>
      <c r="T24" s="17">
        <v>0</v>
      </c>
      <c r="U24" s="17">
        <v>0</v>
      </c>
      <c r="V24" s="17">
        <v>0</v>
      </c>
    </row>
    <row r="25" spans="1:22" x14ac:dyDescent="0.2">
      <c r="A25" s="17" t="s">
        <v>73</v>
      </c>
      <c r="B25" s="17">
        <v>0</v>
      </c>
      <c r="C25" s="17">
        <v>10</v>
      </c>
      <c r="D25" s="17">
        <v>0</v>
      </c>
      <c r="E25" s="17">
        <v>59</v>
      </c>
      <c r="F25" s="17"/>
      <c r="G25" s="17" t="s">
        <v>73</v>
      </c>
      <c r="H25" s="17">
        <v>0</v>
      </c>
      <c r="I25" s="17">
        <v>15</v>
      </c>
      <c r="J25" s="17">
        <v>0</v>
      </c>
      <c r="K25" s="17">
        <v>72</v>
      </c>
      <c r="L25" s="17"/>
      <c r="M25" s="17" t="s">
        <v>73</v>
      </c>
      <c r="N25" s="17">
        <v>0</v>
      </c>
      <c r="O25" s="17">
        <v>3</v>
      </c>
      <c r="P25" s="17">
        <v>0</v>
      </c>
      <c r="Q25" s="17">
        <v>72</v>
      </c>
      <c r="R25" s="17"/>
      <c r="S25" s="17" t="s">
        <v>80</v>
      </c>
      <c r="T25" s="17">
        <v>0</v>
      </c>
      <c r="U25" s="17">
        <v>0</v>
      </c>
      <c r="V25" s="17">
        <v>0</v>
      </c>
    </row>
    <row r="26" spans="1:22" x14ac:dyDescent="0.2">
      <c r="A26" s="17" t="s">
        <v>74</v>
      </c>
      <c r="B26" s="17">
        <v>0</v>
      </c>
      <c r="C26" s="17">
        <v>0</v>
      </c>
      <c r="D26" s="17">
        <v>0</v>
      </c>
      <c r="E26" s="17">
        <v>100</v>
      </c>
      <c r="F26" s="17"/>
      <c r="G26" s="17" t="s">
        <v>74</v>
      </c>
      <c r="H26" s="17">
        <v>0</v>
      </c>
      <c r="I26" s="17">
        <v>0</v>
      </c>
      <c r="J26" s="17">
        <v>0</v>
      </c>
      <c r="K26" s="17">
        <v>100</v>
      </c>
      <c r="L26" s="17"/>
      <c r="M26" s="17" t="s">
        <v>74</v>
      </c>
      <c r="N26" s="17">
        <v>0</v>
      </c>
      <c r="O26" s="17">
        <v>0</v>
      </c>
      <c r="P26" s="17">
        <v>0</v>
      </c>
      <c r="Q26" s="17">
        <v>100</v>
      </c>
      <c r="R26" s="17"/>
      <c r="S26" s="17" t="s">
        <v>74</v>
      </c>
      <c r="T26" s="17">
        <v>0</v>
      </c>
      <c r="U26" s="17">
        <v>0</v>
      </c>
      <c r="V26" s="17">
        <v>0</v>
      </c>
    </row>
    <row r="27" spans="1:22" x14ac:dyDescent="0.2">
      <c r="A27" s="17" t="s">
        <v>75</v>
      </c>
      <c r="B27" s="17">
        <v>0</v>
      </c>
      <c r="C27" s="17">
        <v>15</v>
      </c>
      <c r="D27" s="17">
        <v>0</v>
      </c>
      <c r="E27" s="17">
        <v>74</v>
      </c>
      <c r="F27" s="17"/>
      <c r="G27" s="17" t="s">
        <v>75</v>
      </c>
      <c r="H27" s="17">
        <v>0</v>
      </c>
      <c r="I27" s="17">
        <v>9</v>
      </c>
      <c r="J27" s="17">
        <v>0</v>
      </c>
      <c r="K27" s="17">
        <v>51</v>
      </c>
      <c r="L27" s="17"/>
      <c r="M27" s="17" t="s">
        <v>75</v>
      </c>
      <c r="N27" s="17">
        <v>0</v>
      </c>
      <c r="O27" s="17">
        <v>33</v>
      </c>
      <c r="P27" s="17">
        <v>0</v>
      </c>
      <c r="Q27" s="17">
        <v>103</v>
      </c>
      <c r="R27" s="17"/>
      <c r="S27" s="17" t="s">
        <v>75</v>
      </c>
      <c r="T27" s="17">
        <v>0</v>
      </c>
      <c r="U27" s="17">
        <v>0</v>
      </c>
      <c r="V27" s="17">
        <v>0</v>
      </c>
    </row>
    <row r="28" spans="1:22" x14ac:dyDescent="0.2">
      <c r="A28" s="17" t="s">
        <v>76</v>
      </c>
      <c r="B28" s="17">
        <v>0</v>
      </c>
      <c r="C28" s="17">
        <v>0</v>
      </c>
      <c r="D28" s="17">
        <v>0</v>
      </c>
      <c r="E28" s="17">
        <v>100</v>
      </c>
      <c r="F28" s="17"/>
      <c r="G28" s="17" t="s">
        <v>76</v>
      </c>
      <c r="H28" s="17">
        <v>0</v>
      </c>
      <c r="I28" s="17">
        <v>0</v>
      </c>
      <c r="J28" s="17">
        <v>0</v>
      </c>
      <c r="K28" s="17">
        <v>100</v>
      </c>
      <c r="L28" s="17"/>
      <c r="M28" s="17" t="s">
        <v>76</v>
      </c>
      <c r="N28" s="17">
        <v>0</v>
      </c>
      <c r="O28" s="17">
        <v>0</v>
      </c>
      <c r="P28" s="17">
        <v>0</v>
      </c>
      <c r="Q28" s="17">
        <v>100</v>
      </c>
      <c r="R28" s="17"/>
      <c r="S28" s="17" t="s">
        <v>76</v>
      </c>
      <c r="T28" s="17">
        <v>0</v>
      </c>
      <c r="U28" s="17">
        <v>0</v>
      </c>
      <c r="V28" s="17">
        <v>0</v>
      </c>
    </row>
    <row r="29" spans="1:22" x14ac:dyDescent="0.2">
      <c r="A29" s="17" t="s">
        <v>11</v>
      </c>
      <c r="B29" s="17">
        <v>0</v>
      </c>
      <c r="C29" s="17">
        <v>29</v>
      </c>
      <c r="D29" s="17">
        <v>0</v>
      </c>
      <c r="E29" s="17">
        <v>98</v>
      </c>
      <c r="F29" s="17"/>
      <c r="G29" s="17" t="s">
        <v>11</v>
      </c>
      <c r="H29" s="17">
        <v>0</v>
      </c>
      <c r="I29" s="17">
        <v>19</v>
      </c>
      <c r="J29" s="17">
        <v>0</v>
      </c>
      <c r="K29" s="17">
        <v>84</v>
      </c>
      <c r="L29" s="17"/>
      <c r="M29" s="17" t="s">
        <v>11</v>
      </c>
      <c r="N29" s="17">
        <v>0</v>
      </c>
      <c r="O29" s="17">
        <v>40</v>
      </c>
      <c r="P29" s="17">
        <v>0</v>
      </c>
      <c r="Q29" s="17">
        <v>100</v>
      </c>
      <c r="R29" s="17"/>
      <c r="S29" s="17" t="s">
        <v>13</v>
      </c>
      <c r="T29" s="17">
        <v>0</v>
      </c>
      <c r="U29" s="17">
        <v>0</v>
      </c>
      <c r="V29" s="17">
        <v>0</v>
      </c>
    </row>
    <row r="30" spans="1:22" x14ac:dyDescent="0.2">
      <c r="A30" s="17" t="s">
        <v>77</v>
      </c>
      <c r="B30" s="17">
        <v>0</v>
      </c>
      <c r="C30" s="17">
        <v>0</v>
      </c>
      <c r="D30" s="17">
        <v>0</v>
      </c>
      <c r="E30" s="17">
        <v>100</v>
      </c>
      <c r="F30" s="17"/>
      <c r="G30" s="17" t="s">
        <v>77</v>
      </c>
      <c r="H30" s="17">
        <v>0</v>
      </c>
      <c r="I30" s="17">
        <v>0</v>
      </c>
      <c r="J30" s="17">
        <v>0</v>
      </c>
      <c r="K30" s="17">
        <v>100</v>
      </c>
      <c r="L30" s="17"/>
      <c r="M30" s="17" t="s">
        <v>77</v>
      </c>
      <c r="N30" s="17">
        <v>0</v>
      </c>
      <c r="O30" s="17">
        <v>0</v>
      </c>
      <c r="P30" s="17">
        <v>0</v>
      </c>
      <c r="Q30" s="17">
        <v>100</v>
      </c>
      <c r="R30" s="17"/>
      <c r="S30" s="17" t="s">
        <v>77</v>
      </c>
      <c r="T30" s="17">
        <v>0</v>
      </c>
      <c r="U30" s="17">
        <v>0</v>
      </c>
      <c r="V30" s="17">
        <v>0</v>
      </c>
    </row>
    <row r="31" spans="1:22" x14ac:dyDescent="0.2">
      <c r="A31" s="17" t="s">
        <v>78</v>
      </c>
      <c r="B31" s="17">
        <v>0</v>
      </c>
      <c r="C31" s="17">
        <v>22</v>
      </c>
      <c r="D31" s="17">
        <v>0</v>
      </c>
      <c r="E31" s="17">
        <v>72</v>
      </c>
      <c r="F31" s="17"/>
      <c r="G31" s="17" t="s">
        <v>78</v>
      </c>
      <c r="H31" s="17">
        <v>0</v>
      </c>
      <c r="I31" s="17">
        <v>13</v>
      </c>
      <c r="J31" s="17">
        <v>0</v>
      </c>
      <c r="K31" s="17">
        <v>57</v>
      </c>
      <c r="L31" s="17"/>
      <c r="M31" s="17" t="s">
        <v>78</v>
      </c>
      <c r="N31" s="17">
        <v>0</v>
      </c>
      <c r="O31" s="17">
        <v>27</v>
      </c>
      <c r="P31" s="17">
        <v>0</v>
      </c>
      <c r="Q31" s="17">
        <v>61</v>
      </c>
      <c r="R31" s="17"/>
      <c r="S31" s="17" t="s">
        <v>78</v>
      </c>
      <c r="T31" s="17">
        <v>0</v>
      </c>
      <c r="U31" s="17">
        <v>0</v>
      </c>
      <c r="V31" s="17">
        <v>0</v>
      </c>
    </row>
    <row r="32" spans="1:22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22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22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22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22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22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x14ac:dyDescent="0.2">
      <c r="S60" s="17"/>
      <c r="T60" s="17"/>
      <c r="U60" s="17"/>
      <c r="V60" s="17"/>
    </row>
    <row r="61" spans="1:22" x14ac:dyDescent="0.2">
      <c r="S61" s="17"/>
      <c r="T61" s="17"/>
      <c r="U61" s="17"/>
      <c r="V61" s="17"/>
    </row>
    <row r="62" spans="1:22" x14ac:dyDescent="0.2">
      <c r="S62" s="17"/>
      <c r="T62" s="17"/>
      <c r="U62" s="17"/>
      <c r="V62" s="17"/>
    </row>
    <row r="63" spans="1:22" x14ac:dyDescent="0.2">
      <c r="S63" s="17"/>
      <c r="T63" s="17"/>
      <c r="U63" s="17"/>
      <c r="V63" s="17"/>
    </row>
    <row r="64" spans="1:22" x14ac:dyDescent="0.2">
      <c r="S64" s="17"/>
      <c r="T64" s="17"/>
      <c r="U64" s="17"/>
      <c r="V64" s="17"/>
    </row>
    <row r="65" spans="19:22" x14ac:dyDescent="0.2">
      <c r="S65" s="17"/>
      <c r="T65" s="17"/>
      <c r="U65" s="17"/>
      <c r="V65" s="17"/>
    </row>
    <row r="66" spans="19:22" x14ac:dyDescent="0.2">
      <c r="S66" s="17"/>
      <c r="T66" s="17"/>
      <c r="U66" s="17"/>
      <c r="V66" s="17"/>
    </row>
    <row r="67" spans="19:22" x14ac:dyDescent="0.2">
      <c r="S67" s="17"/>
      <c r="T67" s="17"/>
      <c r="U67" s="17"/>
      <c r="V67" s="17"/>
    </row>
    <row r="68" spans="19:22" x14ac:dyDescent="0.2">
      <c r="S68" s="17"/>
      <c r="T68" s="17"/>
      <c r="U68" s="17"/>
      <c r="V68" s="17"/>
    </row>
    <row r="69" spans="19:22" x14ac:dyDescent="0.2">
      <c r="S69" s="17"/>
      <c r="T69" s="17"/>
      <c r="U69" s="17"/>
      <c r="V69" s="17"/>
    </row>
    <row r="70" spans="19:22" x14ac:dyDescent="0.2">
      <c r="S70" s="17"/>
      <c r="T70" s="17"/>
      <c r="U70" s="17"/>
      <c r="V70" s="17"/>
    </row>
    <row r="71" spans="19:22" x14ac:dyDescent="0.2">
      <c r="S71" s="17"/>
      <c r="T71" s="17"/>
      <c r="U71" s="17"/>
      <c r="V71" s="17"/>
    </row>
    <row r="72" spans="19:22" x14ac:dyDescent="0.2">
      <c r="S72" s="17"/>
      <c r="T72" s="17"/>
      <c r="U72" s="17"/>
      <c r="V72" s="17"/>
    </row>
    <row r="73" spans="19:22" x14ac:dyDescent="0.2">
      <c r="S73" s="17"/>
      <c r="T73" s="17"/>
      <c r="U73" s="17"/>
      <c r="V73" s="17"/>
    </row>
    <row r="74" spans="19:22" x14ac:dyDescent="0.2">
      <c r="S74" s="17"/>
      <c r="T74" s="17"/>
      <c r="U74" s="17"/>
      <c r="V74" s="17"/>
    </row>
    <row r="75" spans="19:22" x14ac:dyDescent="0.2">
      <c r="S75" s="17"/>
      <c r="T75" s="17"/>
      <c r="U75" s="17"/>
      <c r="V75" s="17"/>
    </row>
    <row r="76" spans="19:22" x14ac:dyDescent="0.2">
      <c r="S76" s="17"/>
      <c r="T76" s="17"/>
      <c r="U76" s="17"/>
      <c r="V76" s="17"/>
    </row>
    <row r="77" spans="19:22" x14ac:dyDescent="0.2">
      <c r="S77" s="17"/>
      <c r="T77" s="17"/>
      <c r="U77" s="17"/>
      <c r="V77" s="17"/>
    </row>
    <row r="78" spans="19:22" x14ac:dyDescent="0.2">
      <c r="S78" s="17"/>
      <c r="T78" s="17"/>
      <c r="U78" s="17"/>
      <c r="V78" s="17"/>
    </row>
    <row r="79" spans="19:22" x14ac:dyDescent="0.2">
      <c r="S79" s="17"/>
      <c r="T79" s="17"/>
      <c r="U79" s="17"/>
      <c r="V79" s="17"/>
    </row>
    <row r="80" spans="19:22" x14ac:dyDescent="0.2">
      <c r="S80" s="17"/>
      <c r="T80" s="17"/>
      <c r="U80" s="17"/>
      <c r="V80" s="17"/>
    </row>
  </sheetData>
  <mergeCells count="3">
    <mergeCell ref="B1:E1"/>
    <mergeCell ref="H1:K1"/>
    <mergeCell ref="N1:Q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5B93-FF10-034A-919A-97765085BF75}">
  <sheetPr>
    <tabColor rgb="FF00B050"/>
  </sheetPr>
  <dimension ref="A1:R41"/>
  <sheetViews>
    <sheetView workbookViewId="0">
      <selection activeCell="E35" sqref="E35"/>
    </sheetView>
  </sheetViews>
  <sheetFormatPr baseColWidth="10" defaultRowHeight="15" x14ac:dyDescent="0.2"/>
  <cols>
    <col min="1" max="1" width="12.1640625" customWidth="1"/>
    <col min="2" max="2" width="11.6640625" customWidth="1"/>
    <col min="3" max="3" width="12" customWidth="1"/>
    <col min="6" max="6" width="12.6640625" customWidth="1"/>
    <col min="7" max="7" width="9" customWidth="1"/>
    <col min="9" max="9" width="11.33203125" customWidth="1"/>
    <col min="10" max="10" width="8.5" customWidth="1"/>
  </cols>
  <sheetData>
    <row r="1" spans="1:17" x14ac:dyDescent="0.2">
      <c r="A1" s="17"/>
      <c r="B1" s="124" t="s">
        <v>67</v>
      </c>
      <c r="C1" s="124"/>
      <c r="D1" s="18"/>
      <c r="E1" s="124" t="s">
        <v>139</v>
      </c>
      <c r="F1" s="124"/>
      <c r="G1" s="17"/>
      <c r="H1" s="124" t="s">
        <v>140</v>
      </c>
      <c r="I1" s="124"/>
      <c r="J1" s="32"/>
      <c r="K1" s="126" t="s">
        <v>81</v>
      </c>
      <c r="L1" s="126"/>
      <c r="M1" s="18"/>
      <c r="P1" s="17"/>
      <c r="Q1" s="17"/>
    </row>
    <row r="2" spans="1:17" x14ac:dyDescent="0.2">
      <c r="A2" s="17"/>
      <c r="B2" s="17" t="s">
        <v>82</v>
      </c>
      <c r="C2" s="17" t="s">
        <v>83</v>
      </c>
      <c r="D2" s="17"/>
      <c r="E2" s="17" t="s">
        <v>82</v>
      </c>
      <c r="F2" s="17" t="s">
        <v>83</v>
      </c>
      <c r="G2" s="17"/>
      <c r="H2" s="17" t="s">
        <v>82</v>
      </c>
      <c r="I2" s="17" t="s">
        <v>83</v>
      </c>
      <c r="J2" s="17"/>
      <c r="K2" s="17" t="s">
        <v>82</v>
      </c>
      <c r="L2" s="17" t="s">
        <v>84</v>
      </c>
      <c r="N2" s="17"/>
    </row>
    <row r="3" spans="1:17" x14ac:dyDescent="0.2">
      <c r="A3" s="17" t="s">
        <v>85</v>
      </c>
      <c r="B3" s="19">
        <v>0.13</v>
      </c>
      <c r="C3" s="17">
        <v>47</v>
      </c>
      <c r="D3" s="17"/>
      <c r="E3" s="19">
        <v>0.23</v>
      </c>
      <c r="F3" s="17">
        <v>54</v>
      </c>
      <c r="G3" s="19"/>
      <c r="H3" s="20">
        <v>0.60799999999999998</v>
      </c>
      <c r="I3" s="17">
        <v>50</v>
      </c>
      <c r="J3" s="17"/>
      <c r="K3" s="20">
        <v>0.32400000000000001</v>
      </c>
      <c r="L3" s="21">
        <v>151</v>
      </c>
      <c r="N3" s="17"/>
    </row>
    <row r="4" spans="1:17" x14ac:dyDescent="0.2">
      <c r="A4" s="17" t="s">
        <v>86</v>
      </c>
      <c r="B4" s="19">
        <v>1.93</v>
      </c>
      <c r="C4" s="17">
        <v>27</v>
      </c>
      <c r="D4" s="17"/>
      <c r="E4" s="19">
        <v>2.0699999999999998</v>
      </c>
      <c r="F4" s="17">
        <v>48</v>
      </c>
      <c r="G4" s="19"/>
      <c r="H4" s="20">
        <v>2.8639999999999999</v>
      </c>
      <c r="I4" s="17">
        <v>35</v>
      </c>
      <c r="J4" s="17"/>
      <c r="K4" s="20">
        <v>2.2890000000000001</v>
      </c>
      <c r="L4" s="21">
        <v>110</v>
      </c>
      <c r="N4" s="17"/>
    </row>
    <row r="5" spans="1:17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7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7"/>
    </row>
    <row r="7" spans="1:17" x14ac:dyDescent="0.2">
      <c r="A7" s="17"/>
      <c r="B7" s="124" t="s">
        <v>87</v>
      </c>
      <c r="C7" s="124"/>
      <c r="D7" s="18"/>
      <c r="E7" s="124" t="s">
        <v>88</v>
      </c>
      <c r="F7" s="124"/>
      <c r="G7" s="17"/>
      <c r="H7" s="125" t="s">
        <v>89</v>
      </c>
      <c r="I7" s="125"/>
      <c r="J7" s="32"/>
      <c r="K7" s="126" t="s">
        <v>81</v>
      </c>
      <c r="L7" s="126"/>
      <c r="M7" s="18"/>
      <c r="O7" s="17"/>
      <c r="P7" s="17"/>
    </row>
    <row r="8" spans="1:17" x14ac:dyDescent="0.2">
      <c r="A8" s="17"/>
      <c r="B8" s="17" t="s">
        <v>82</v>
      </c>
      <c r="C8" s="17" t="s">
        <v>83</v>
      </c>
      <c r="D8" s="17"/>
      <c r="E8" s="17" t="s">
        <v>82</v>
      </c>
      <c r="F8" s="17" t="s">
        <v>83</v>
      </c>
      <c r="G8" s="17"/>
      <c r="H8" s="17" t="s">
        <v>82</v>
      </c>
      <c r="I8" s="17" t="s">
        <v>83</v>
      </c>
      <c r="J8" s="17"/>
      <c r="K8" s="17" t="s">
        <v>82</v>
      </c>
      <c r="L8" s="17" t="s">
        <v>84</v>
      </c>
      <c r="N8" s="17"/>
    </row>
    <row r="9" spans="1:17" x14ac:dyDescent="0.2">
      <c r="A9" s="17" t="s">
        <v>90</v>
      </c>
      <c r="B9" s="20">
        <v>0.108</v>
      </c>
      <c r="C9" s="17">
        <v>30</v>
      </c>
      <c r="D9" s="17"/>
      <c r="E9" s="19">
        <v>0.13</v>
      </c>
      <c r="F9" s="17">
        <v>47</v>
      </c>
      <c r="G9" s="19"/>
      <c r="H9" s="19">
        <v>0.5</v>
      </c>
      <c r="I9" s="17">
        <v>58</v>
      </c>
      <c r="J9" s="17"/>
      <c r="K9" s="20">
        <v>7.9000000000000001E-2</v>
      </c>
      <c r="L9" s="21">
        <v>135</v>
      </c>
      <c r="N9" s="17"/>
    </row>
    <row r="10" spans="1:17" x14ac:dyDescent="0.2">
      <c r="A10" s="17" t="s">
        <v>91</v>
      </c>
      <c r="B10" s="19">
        <v>0.28999999999999998</v>
      </c>
      <c r="C10" s="17">
        <v>47</v>
      </c>
      <c r="D10" s="17"/>
      <c r="E10" s="19">
        <v>0.5</v>
      </c>
      <c r="F10" s="17">
        <v>40</v>
      </c>
      <c r="G10" s="19"/>
      <c r="H10" s="19">
        <v>1.56</v>
      </c>
      <c r="I10" s="17">
        <v>34</v>
      </c>
      <c r="J10" s="17"/>
      <c r="K10" s="20">
        <v>1.508</v>
      </c>
      <c r="L10" s="21">
        <v>121</v>
      </c>
      <c r="N10" s="17"/>
    </row>
    <row r="11" spans="1:17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x14ac:dyDescent="0.2">
      <c r="A12" s="17"/>
      <c r="B12" s="31" t="s">
        <v>92</v>
      </c>
      <c r="C12" s="17"/>
      <c r="D12" s="17"/>
      <c r="E12" s="30" t="s">
        <v>92</v>
      </c>
      <c r="F12" s="17"/>
      <c r="G12" s="17"/>
      <c r="H12" s="30" t="s">
        <v>92</v>
      </c>
      <c r="I12" s="17"/>
      <c r="J12" s="17"/>
      <c r="K12" s="18"/>
      <c r="L12" s="18"/>
      <c r="M12" s="18"/>
      <c r="O12" s="17"/>
      <c r="P12" s="17"/>
    </row>
    <row r="13" spans="1:17" x14ac:dyDescent="0.2">
      <c r="A13" s="17"/>
      <c r="B13" s="17" t="s">
        <v>82</v>
      </c>
      <c r="C13" s="17"/>
      <c r="D13" s="17"/>
      <c r="E13" s="17" t="s">
        <v>82</v>
      </c>
      <c r="F13" s="17"/>
      <c r="G13" s="17"/>
      <c r="H13" s="17" t="s">
        <v>82</v>
      </c>
      <c r="I13" s="17"/>
      <c r="J13" s="17"/>
      <c r="K13" s="17"/>
      <c r="L13" s="17"/>
      <c r="M13" s="17"/>
      <c r="N13" s="17"/>
      <c r="O13" s="17"/>
    </row>
    <row r="14" spans="1:17" x14ac:dyDescent="0.2">
      <c r="A14" s="17" t="s">
        <v>28</v>
      </c>
      <c r="B14" s="19">
        <f>B3-B9</f>
        <v>2.2000000000000006E-2</v>
      </c>
      <c r="D14" s="17"/>
      <c r="E14" s="19">
        <f>E3-E9</f>
        <v>0.1</v>
      </c>
      <c r="F14" s="19"/>
      <c r="G14" s="17"/>
      <c r="H14" s="19">
        <f>H3-H9</f>
        <v>0.10799999999999998</v>
      </c>
      <c r="I14" s="19"/>
      <c r="J14" s="17"/>
      <c r="K14" s="17"/>
      <c r="L14" s="17"/>
      <c r="M14" s="17"/>
      <c r="N14" s="17"/>
      <c r="O14" s="17"/>
    </row>
    <row r="15" spans="1:17" x14ac:dyDescent="0.2">
      <c r="A15" s="17" t="s">
        <v>93</v>
      </c>
      <c r="B15" s="19">
        <f>B4-B10</f>
        <v>1.64</v>
      </c>
      <c r="D15" s="17"/>
      <c r="E15" s="19">
        <f>E4-E10</f>
        <v>1.5699999999999998</v>
      </c>
      <c r="F15" s="19"/>
      <c r="G15" s="17"/>
      <c r="H15" s="19">
        <f>H4-H10</f>
        <v>1.3039999999999998</v>
      </c>
      <c r="I15" s="19"/>
      <c r="J15" s="17"/>
      <c r="K15" s="17"/>
      <c r="L15" s="17"/>
      <c r="M15" s="17"/>
      <c r="N15" s="17"/>
      <c r="O15" s="17"/>
    </row>
    <row r="16" spans="1:17" ht="16" thickBo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8" x14ac:dyDescent="0.2">
      <c r="A17" s="17" t="s">
        <v>28</v>
      </c>
      <c r="B17" s="36">
        <v>1.242775E-2</v>
      </c>
      <c r="C17" s="33" t="s">
        <v>141</v>
      </c>
      <c r="D17" s="17"/>
      <c r="E17" s="36">
        <v>6.8473900000000004E-2</v>
      </c>
      <c r="F17" s="33" t="s">
        <v>141</v>
      </c>
      <c r="G17" s="17"/>
      <c r="H17" s="36">
        <v>8.37648E-2</v>
      </c>
      <c r="I17" s="33" t="s">
        <v>141</v>
      </c>
      <c r="J17" s="17"/>
      <c r="K17" s="18"/>
      <c r="L17" s="18"/>
      <c r="M17" s="18"/>
      <c r="O17" s="17"/>
      <c r="P17" s="17"/>
    </row>
    <row r="18" spans="1:18" ht="16" thickBot="1" x14ac:dyDescent="0.25">
      <c r="A18" s="17" t="s">
        <v>93</v>
      </c>
      <c r="B18" s="17">
        <v>1</v>
      </c>
      <c r="C18" s="35">
        <v>0.60872828000000001</v>
      </c>
      <c r="D18" s="17"/>
      <c r="E18" s="17">
        <v>1</v>
      </c>
      <c r="F18" s="35">
        <v>0.63446106999999996</v>
      </c>
      <c r="G18" s="17"/>
      <c r="H18" s="17">
        <v>1</v>
      </c>
      <c r="I18" s="35">
        <v>0.76684448000000005</v>
      </c>
      <c r="J18" s="17"/>
      <c r="K18" s="17"/>
      <c r="M18" s="17"/>
      <c r="N18" s="17"/>
      <c r="O18" s="17"/>
    </row>
    <row r="19" spans="1:18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M19" s="17"/>
      <c r="N19" s="17"/>
      <c r="O19" s="17"/>
    </row>
    <row r="20" spans="1:18" x14ac:dyDescent="0.2">
      <c r="A20" s="39" t="s">
        <v>100</v>
      </c>
      <c r="B20" s="19">
        <f>AVERAGE(B17,E17,H17)</f>
        <v>5.4888816666666673E-2</v>
      </c>
      <c r="C20" s="17">
        <v>1</v>
      </c>
      <c r="D20" s="17"/>
      <c r="G20" s="17"/>
      <c r="H20" s="17"/>
      <c r="I20" s="17"/>
      <c r="J20" s="17"/>
      <c r="K20" s="17"/>
      <c r="M20" s="17"/>
      <c r="N20" s="17"/>
      <c r="O20" s="17"/>
    </row>
    <row r="21" spans="1:18" x14ac:dyDescent="0.2">
      <c r="A21" s="39" t="s">
        <v>63</v>
      </c>
      <c r="B21" s="19">
        <f>STDEV(B17,E17,H17)</f>
        <v>3.7558747883227307E-2</v>
      </c>
      <c r="C21" s="17">
        <v>0</v>
      </c>
      <c r="D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8" x14ac:dyDescent="0.2">
      <c r="A22" s="39" t="s">
        <v>59</v>
      </c>
      <c r="B22" s="19">
        <v>0.02</v>
      </c>
      <c r="C22" s="17">
        <v>0</v>
      </c>
      <c r="D22" s="17"/>
      <c r="G22" s="17"/>
      <c r="H22" s="22" t="s">
        <v>94</v>
      </c>
      <c r="I22" s="22"/>
      <c r="J22" s="22"/>
      <c r="K22" s="17"/>
      <c r="L22" s="17"/>
      <c r="M22" s="17"/>
      <c r="N22" s="17"/>
      <c r="O22" s="17"/>
      <c r="P22" s="17"/>
      <c r="Q22" s="17"/>
    </row>
    <row r="23" spans="1:18" x14ac:dyDescent="0.2">
      <c r="A23" s="38" t="s">
        <v>71</v>
      </c>
      <c r="B23" s="37">
        <f>M34</f>
        <v>1.65691E-6</v>
      </c>
      <c r="C23" s="17"/>
      <c r="D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x14ac:dyDescent="0.2">
      <c r="A24" s="17"/>
      <c r="B24" s="17"/>
      <c r="C24" s="17"/>
      <c r="D24" s="17"/>
      <c r="E24" s="17" t="s">
        <v>28</v>
      </c>
      <c r="F24" s="17" t="s">
        <v>93</v>
      </c>
      <c r="G24" s="17"/>
      <c r="H24" s="17" t="s">
        <v>95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">
      <c r="A25" s="17"/>
      <c r="B25" s="17"/>
      <c r="C25" s="17"/>
      <c r="D25" s="17"/>
      <c r="E25" s="36">
        <v>1.242775E-2</v>
      </c>
      <c r="F25" s="17">
        <v>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6" thickBot="1" x14ac:dyDescent="0.25">
      <c r="A26" s="17"/>
      <c r="B26" s="17"/>
      <c r="C26" s="17"/>
      <c r="D26" s="17"/>
      <c r="E26" s="36">
        <v>6.8473900000000004E-2</v>
      </c>
      <c r="F26" s="17">
        <v>1</v>
      </c>
      <c r="H26" s="17" t="s">
        <v>96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x14ac:dyDescent="0.2">
      <c r="A27" s="114" t="s">
        <v>425</v>
      </c>
      <c r="B27" s="114"/>
      <c r="C27" s="17"/>
      <c r="D27" s="17"/>
      <c r="E27" s="36">
        <v>8.37648E-2</v>
      </c>
      <c r="F27" s="17">
        <v>1</v>
      </c>
      <c r="H27" s="23" t="s">
        <v>97</v>
      </c>
      <c r="I27" s="23" t="s">
        <v>98</v>
      </c>
      <c r="J27" s="23" t="s">
        <v>99</v>
      </c>
      <c r="K27" s="23" t="s">
        <v>100</v>
      </c>
      <c r="L27" s="23" t="s">
        <v>39</v>
      </c>
      <c r="M27" s="17"/>
      <c r="N27" s="17"/>
      <c r="O27" s="17"/>
      <c r="P27" s="17"/>
      <c r="Q27" s="17"/>
      <c r="R27" s="17"/>
    </row>
    <row r="28" spans="1:18" x14ac:dyDescent="0.2">
      <c r="A28" s="11" t="s">
        <v>54</v>
      </c>
      <c r="B28" s="12"/>
      <c r="C28" s="17"/>
      <c r="D28" s="17"/>
      <c r="E28" s="17"/>
      <c r="F28" s="17"/>
      <c r="H28" s="17" t="s">
        <v>101</v>
      </c>
      <c r="I28" s="17">
        <v>3</v>
      </c>
      <c r="J28" s="17">
        <v>0.16466644999999999</v>
      </c>
      <c r="K28" s="17">
        <v>5.4888819999999998E-2</v>
      </c>
      <c r="L28" s="17">
        <v>1.41066E-3</v>
      </c>
      <c r="M28" s="17"/>
      <c r="N28" s="17"/>
      <c r="O28" s="17"/>
      <c r="P28" s="17"/>
      <c r="Q28" s="17"/>
      <c r="R28" s="17"/>
    </row>
    <row r="29" spans="1:18" ht="16" thickBot="1" x14ac:dyDescent="0.25">
      <c r="A29" s="17"/>
      <c r="B29" s="17"/>
      <c r="C29" s="17"/>
      <c r="D29" s="17"/>
      <c r="E29" s="17"/>
      <c r="F29" s="17"/>
      <c r="H29" s="24" t="s">
        <v>102</v>
      </c>
      <c r="I29" s="24">
        <v>3</v>
      </c>
      <c r="J29" s="24">
        <v>3</v>
      </c>
      <c r="K29" s="24">
        <v>1</v>
      </c>
      <c r="L29" s="24">
        <v>0</v>
      </c>
      <c r="M29" s="17"/>
      <c r="N29" s="17"/>
      <c r="O29" s="17"/>
      <c r="P29" s="17"/>
      <c r="Q29" s="17"/>
      <c r="R29" s="17"/>
    </row>
    <row r="30" spans="1:18" x14ac:dyDescent="0.2">
      <c r="A30" s="17"/>
      <c r="B30" s="17"/>
      <c r="C30" s="17"/>
      <c r="D30" s="17"/>
      <c r="E30" s="17"/>
      <c r="F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">
      <c r="A31" s="17"/>
      <c r="B31" s="17"/>
      <c r="C31" s="17"/>
      <c r="D31" s="17"/>
      <c r="E31" s="17"/>
      <c r="F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6" thickBot="1" x14ac:dyDescent="0.25">
      <c r="A32" s="17"/>
      <c r="B32" s="17"/>
      <c r="C32" s="17"/>
      <c r="D32" s="17"/>
      <c r="E32" s="17"/>
      <c r="F32" s="17"/>
      <c r="H32" s="17" t="s">
        <v>103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">
      <c r="A33" s="17"/>
      <c r="B33" s="17"/>
      <c r="C33" s="17"/>
      <c r="D33" s="17"/>
      <c r="E33" s="17"/>
      <c r="F33" s="17"/>
      <c r="H33" s="23" t="s">
        <v>104</v>
      </c>
      <c r="I33" s="23" t="s">
        <v>105</v>
      </c>
      <c r="J33" s="23" t="s">
        <v>106</v>
      </c>
      <c r="K33" s="23" t="s">
        <v>107</v>
      </c>
      <c r="L33" s="23" t="s">
        <v>49</v>
      </c>
      <c r="M33" s="23" t="s">
        <v>108</v>
      </c>
      <c r="N33" s="23" t="s">
        <v>109</v>
      </c>
      <c r="O33" s="17"/>
      <c r="P33" s="17"/>
      <c r="Q33" s="17"/>
      <c r="R33" s="17"/>
    </row>
    <row r="34" spans="1:18" x14ac:dyDescent="0.2">
      <c r="A34" s="17"/>
      <c r="B34" s="17"/>
      <c r="C34" s="17"/>
      <c r="D34" s="17"/>
      <c r="E34" s="17"/>
      <c r="F34" s="17"/>
      <c r="H34" s="17" t="s">
        <v>110</v>
      </c>
      <c r="I34" s="17">
        <v>1.33985</v>
      </c>
      <c r="J34" s="17">
        <v>1</v>
      </c>
      <c r="K34" s="17">
        <v>1.3398527200000001</v>
      </c>
      <c r="L34" s="17">
        <v>1899.6115400000001</v>
      </c>
      <c r="M34" s="17">
        <v>1.65691E-6</v>
      </c>
      <c r="N34" s="17">
        <v>7.708647</v>
      </c>
      <c r="O34" s="17"/>
      <c r="P34" s="17"/>
      <c r="Q34" s="17"/>
      <c r="R34" s="17"/>
    </row>
    <row r="35" spans="1:18" x14ac:dyDescent="0.2">
      <c r="A35" s="17"/>
      <c r="B35" s="17"/>
      <c r="C35" s="17"/>
      <c r="D35" s="17"/>
      <c r="E35" s="17"/>
      <c r="F35" s="17"/>
      <c r="H35" s="17" t="s">
        <v>111</v>
      </c>
      <c r="I35" s="17">
        <v>2.82E-3</v>
      </c>
      <c r="J35" s="17">
        <v>4</v>
      </c>
      <c r="K35" s="17">
        <v>7.0533E-4</v>
      </c>
      <c r="L35" s="17"/>
      <c r="M35" s="17"/>
      <c r="N35" s="17"/>
      <c r="O35" s="17"/>
      <c r="P35" s="17"/>
      <c r="Q35" s="17"/>
      <c r="R35" s="17"/>
    </row>
    <row r="36" spans="1:18" x14ac:dyDescent="0.2">
      <c r="A36" s="17"/>
      <c r="B36" s="17"/>
      <c r="C36" s="17"/>
      <c r="D36" s="17"/>
      <c r="E36" s="17"/>
      <c r="F36" s="17"/>
      <c r="H36" s="17"/>
      <c r="I36" s="17"/>
      <c r="J36" s="17"/>
      <c r="K36" s="17"/>
      <c r="L36" s="17"/>
      <c r="M36" s="17"/>
      <c r="N36" s="17"/>
      <c r="O36" s="25"/>
      <c r="P36" s="17"/>
      <c r="Q36" s="17"/>
      <c r="R36" s="17"/>
    </row>
    <row r="37" spans="1:18" ht="16" thickBot="1" x14ac:dyDescent="0.25">
      <c r="A37" s="17"/>
      <c r="B37" s="17"/>
      <c r="C37" s="17"/>
      <c r="D37" s="17"/>
      <c r="E37" s="17"/>
      <c r="F37" s="17"/>
      <c r="H37" s="24" t="s">
        <v>55</v>
      </c>
      <c r="I37" s="24">
        <v>1.34267</v>
      </c>
      <c r="J37" s="24">
        <v>5</v>
      </c>
      <c r="K37" s="24"/>
      <c r="L37" s="24"/>
      <c r="M37" s="24"/>
      <c r="N37" s="24"/>
      <c r="O37" s="17"/>
      <c r="P37" s="17"/>
      <c r="Q37" s="17"/>
      <c r="R37" s="17"/>
    </row>
    <row r="38" spans="1:18" x14ac:dyDescent="0.2">
      <c r="A38" s="17"/>
      <c r="B38" s="17"/>
      <c r="C38" s="17"/>
      <c r="D38" s="17"/>
      <c r="E38" s="17"/>
      <c r="F38" s="17"/>
      <c r="H38" s="17"/>
      <c r="I38" s="17"/>
      <c r="J38" s="17"/>
      <c r="K38" s="17"/>
      <c r="L38" s="17"/>
      <c r="M38" s="17"/>
      <c r="O38" s="17"/>
      <c r="P38" s="17"/>
      <c r="Q38" s="17"/>
      <c r="R38" s="17"/>
    </row>
    <row r="39" spans="1:18" x14ac:dyDescent="0.2">
      <c r="A39" s="17"/>
      <c r="B39" s="17"/>
      <c r="C39" s="17"/>
      <c r="D39" s="17"/>
      <c r="E39" s="17"/>
      <c r="F39" s="17"/>
      <c r="N39" s="17"/>
      <c r="O39" s="17"/>
      <c r="P39" s="17"/>
      <c r="Q39" s="17"/>
      <c r="R39" s="17"/>
    </row>
    <row r="40" spans="1:18" x14ac:dyDescent="0.2">
      <c r="A40" s="17"/>
      <c r="B40" s="17"/>
      <c r="C40" s="17"/>
      <c r="D40" s="17"/>
      <c r="E40" s="17"/>
      <c r="F40" s="17"/>
      <c r="N40" s="17"/>
      <c r="O40" s="17"/>
      <c r="P40" s="17"/>
      <c r="Q40" s="17"/>
      <c r="R40" s="17"/>
    </row>
    <row r="41" spans="1:18" x14ac:dyDescent="0.2">
      <c r="M41" s="17"/>
      <c r="N41" s="17"/>
      <c r="O41" s="17"/>
      <c r="P41" s="17"/>
      <c r="Q41" s="17"/>
      <c r="R41" s="17"/>
    </row>
  </sheetData>
  <mergeCells count="9">
    <mergeCell ref="A27:B27"/>
    <mergeCell ref="H1:I1"/>
    <mergeCell ref="H7:I7"/>
    <mergeCell ref="K1:L1"/>
    <mergeCell ref="K7:L7"/>
    <mergeCell ref="B1:C1"/>
    <mergeCell ref="E1:F1"/>
    <mergeCell ref="B7:C7"/>
    <mergeCell ref="E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6F07-A21E-EC48-B35A-FEF37EE63D20}">
  <sheetPr>
    <tabColor rgb="FF00B050"/>
  </sheetPr>
  <dimension ref="A1:S32"/>
  <sheetViews>
    <sheetView workbookViewId="0">
      <selection activeCell="P21" sqref="P21:Q22"/>
    </sheetView>
  </sheetViews>
  <sheetFormatPr baseColWidth="10" defaultRowHeight="15" x14ac:dyDescent="0.2"/>
  <cols>
    <col min="16" max="16" width="9.5" customWidth="1"/>
  </cols>
  <sheetData>
    <row r="1" spans="1:16" x14ac:dyDescent="0.2">
      <c r="B1" s="155" t="s">
        <v>173</v>
      </c>
      <c r="C1" s="155"/>
      <c r="D1" s="155"/>
      <c r="F1" s="155" t="s">
        <v>68</v>
      </c>
      <c r="G1" s="155"/>
      <c r="H1" s="155"/>
      <c r="J1" s="155" t="s">
        <v>69</v>
      </c>
      <c r="K1" s="155"/>
      <c r="L1" s="155"/>
      <c r="N1" s="116" t="s">
        <v>172</v>
      </c>
      <c r="O1" s="116"/>
      <c r="P1" s="116"/>
    </row>
    <row r="2" spans="1:16" x14ac:dyDescent="0.2">
      <c r="F2" t="s">
        <v>28</v>
      </c>
      <c r="J2" t="s">
        <v>28</v>
      </c>
      <c r="N2" s="119" t="s">
        <v>28</v>
      </c>
      <c r="O2" s="119"/>
      <c r="P2" s="119"/>
    </row>
    <row r="3" spans="1:16" x14ac:dyDescent="0.2">
      <c r="B3" s="14" t="s">
        <v>170</v>
      </c>
      <c r="C3" s="14" t="s">
        <v>171</v>
      </c>
      <c r="D3" s="14" t="s">
        <v>122</v>
      </c>
      <c r="F3" t="s">
        <v>170</v>
      </c>
      <c r="G3" t="s">
        <v>171</v>
      </c>
      <c r="H3" t="s">
        <v>122</v>
      </c>
      <c r="J3" t="s">
        <v>170</v>
      </c>
      <c r="K3" t="s">
        <v>171</v>
      </c>
      <c r="L3" t="s">
        <v>122</v>
      </c>
      <c r="N3" t="s">
        <v>170</v>
      </c>
      <c r="O3" t="s">
        <v>171</v>
      </c>
      <c r="P3" t="s">
        <v>178</v>
      </c>
    </row>
    <row r="4" spans="1:16" x14ac:dyDescent="0.2">
      <c r="A4" s="14" t="s">
        <v>28</v>
      </c>
      <c r="B4">
        <v>160</v>
      </c>
      <c r="C4">
        <v>170</v>
      </c>
      <c r="D4">
        <f>B4+C4</f>
        <v>330</v>
      </c>
      <c r="F4" s="64">
        <v>109</v>
      </c>
      <c r="G4" s="64">
        <v>143</v>
      </c>
      <c r="H4" s="64">
        <f>F4+G4</f>
        <v>252</v>
      </c>
      <c r="I4" s="64"/>
      <c r="J4">
        <v>113</v>
      </c>
      <c r="K4">
        <v>111</v>
      </c>
      <c r="L4">
        <f>J4+K4</f>
        <v>224</v>
      </c>
      <c r="N4" s="73">
        <f>AVERAGE(B5,F5,J5)</f>
        <v>47.395081770081767</v>
      </c>
      <c r="O4" s="73">
        <f>AVERAGE(C5,G5,K5)</f>
        <v>52.604918229918233</v>
      </c>
      <c r="P4">
        <v>100</v>
      </c>
    </row>
    <row r="5" spans="1:16" x14ac:dyDescent="0.2">
      <c r="B5" s="72">
        <f>(B4/D4)*100</f>
        <v>48.484848484848484</v>
      </c>
      <c r="C5" s="72">
        <f>(C4/D4)*100</f>
        <v>51.515151515151516</v>
      </c>
      <c r="D5" s="1">
        <v>1</v>
      </c>
      <c r="F5" s="74">
        <f>(F4/H4)*100</f>
        <v>43.253968253968253</v>
      </c>
      <c r="G5" s="74">
        <f>(G4/H4)*100</f>
        <v>56.746031746031747</v>
      </c>
      <c r="H5" s="1">
        <v>1</v>
      </c>
      <c r="I5" s="1"/>
      <c r="J5" s="72">
        <f>(J4/L4)*100</f>
        <v>50.446428571428569</v>
      </c>
      <c r="K5" s="72">
        <f>(K4/L4)*100</f>
        <v>49.553571428571431</v>
      </c>
      <c r="L5" s="1">
        <v>1</v>
      </c>
      <c r="N5" s="72">
        <v>3.7180055102192111</v>
      </c>
      <c r="O5" s="72">
        <v>3.7180055102192111</v>
      </c>
      <c r="P5" s="15" t="s">
        <v>63</v>
      </c>
    </row>
    <row r="6" spans="1:16" x14ac:dyDescent="0.2">
      <c r="N6" s="72">
        <v>2.1465914821735734</v>
      </c>
      <c r="O6" s="72">
        <v>2.1465914821735734</v>
      </c>
      <c r="P6" s="15" t="s">
        <v>59</v>
      </c>
    </row>
    <row r="7" spans="1:16" x14ac:dyDescent="0.2">
      <c r="F7" t="s">
        <v>93</v>
      </c>
      <c r="J7" t="s">
        <v>93</v>
      </c>
    </row>
    <row r="8" spans="1:16" x14ac:dyDescent="0.2">
      <c r="B8" t="s">
        <v>170</v>
      </c>
      <c r="C8" t="s">
        <v>171</v>
      </c>
      <c r="D8" t="s">
        <v>122</v>
      </c>
      <c r="F8" t="s">
        <v>170</v>
      </c>
      <c r="G8" t="s">
        <v>171</v>
      </c>
      <c r="H8" t="s">
        <v>122</v>
      </c>
      <c r="J8" t="s">
        <v>170</v>
      </c>
      <c r="K8" t="s">
        <v>171</v>
      </c>
      <c r="L8" t="s">
        <v>122</v>
      </c>
      <c r="N8" s="157" t="s">
        <v>93</v>
      </c>
      <c r="O8" s="157"/>
      <c r="P8" s="157"/>
    </row>
    <row r="9" spans="1:16" x14ac:dyDescent="0.2">
      <c r="A9" s="14" t="s">
        <v>93</v>
      </c>
      <c r="B9">
        <v>169</v>
      </c>
      <c r="C9">
        <v>322</v>
      </c>
      <c r="D9">
        <f>B9+C9</f>
        <v>491</v>
      </c>
      <c r="F9">
        <v>136</v>
      </c>
      <c r="G9" s="64">
        <v>219</v>
      </c>
      <c r="H9">
        <f>F9+G9</f>
        <v>355</v>
      </c>
      <c r="J9">
        <v>75</v>
      </c>
      <c r="K9">
        <v>151</v>
      </c>
      <c r="L9">
        <f>J9+K9</f>
        <v>226</v>
      </c>
      <c r="N9" t="s">
        <v>170</v>
      </c>
      <c r="O9" t="s">
        <v>171</v>
      </c>
      <c r="P9" t="s">
        <v>178</v>
      </c>
    </row>
    <row r="10" spans="1:16" x14ac:dyDescent="0.2">
      <c r="B10" s="72">
        <f>(B9/D9)*100</f>
        <v>34.419551934826885</v>
      </c>
      <c r="C10" s="72">
        <f>(C9/D9)*100</f>
        <v>65.580448065173115</v>
      </c>
      <c r="D10" s="1">
        <v>1</v>
      </c>
      <c r="F10" s="72">
        <f>(F9/H9)*100</f>
        <v>38.309859154929576</v>
      </c>
      <c r="G10" s="72">
        <f>(G9/H9)*100</f>
        <v>61.690140845070417</v>
      </c>
      <c r="H10" s="1">
        <v>1</v>
      </c>
      <c r="I10" s="1"/>
      <c r="J10" s="72">
        <f>(J9/L9)*100</f>
        <v>33.185840707964601</v>
      </c>
      <c r="K10" s="72">
        <f>(K9/L9)*100</f>
        <v>66.814159292035399</v>
      </c>
      <c r="L10" s="1">
        <v>1</v>
      </c>
      <c r="N10" s="73">
        <f>AVERAGE(B10,F10,J10)</f>
        <v>35.305083932573687</v>
      </c>
      <c r="O10" s="73">
        <f t="shared" ref="O10" si="0">AVERAGE(C10,G10,K10)</f>
        <v>64.69491606742632</v>
      </c>
      <c r="P10">
        <v>100</v>
      </c>
    </row>
    <row r="11" spans="1:16" x14ac:dyDescent="0.2">
      <c r="L11" s="1"/>
      <c r="N11" s="72">
        <v>2.6743254197057658</v>
      </c>
      <c r="O11" s="72">
        <v>2.6743254197057698</v>
      </c>
      <c r="P11" s="15" t="s">
        <v>63</v>
      </c>
    </row>
    <row r="12" spans="1:16" x14ac:dyDescent="0.2">
      <c r="F12" t="s">
        <v>177</v>
      </c>
      <c r="J12" t="s">
        <v>177</v>
      </c>
      <c r="N12" s="72">
        <v>1.5440225009677828</v>
      </c>
      <c r="O12" s="72">
        <v>1.5440225009677853</v>
      </c>
      <c r="P12" s="15" t="s">
        <v>59</v>
      </c>
    </row>
    <row r="13" spans="1:16" x14ac:dyDescent="0.2">
      <c r="B13" t="s">
        <v>170</v>
      </c>
      <c r="C13" t="s">
        <v>171</v>
      </c>
      <c r="D13" t="s">
        <v>122</v>
      </c>
      <c r="F13" t="s">
        <v>170</v>
      </c>
      <c r="G13" t="s">
        <v>171</v>
      </c>
      <c r="H13" t="s">
        <v>122</v>
      </c>
      <c r="J13" t="s">
        <v>170</v>
      </c>
      <c r="K13" t="s">
        <v>171</v>
      </c>
      <c r="L13" t="s">
        <v>122</v>
      </c>
    </row>
    <row r="14" spans="1:16" x14ac:dyDescent="0.2">
      <c r="A14" s="14" t="s">
        <v>177</v>
      </c>
      <c r="B14">
        <v>67</v>
      </c>
      <c r="C14">
        <v>53</v>
      </c>
      <c r="D14">
        <v>120</v>
      </c>
      <c r="F14">
        <v>49</v>
      </c>
      <c r="G14">
        <v>61</v>
      </c>
      <c r="H14">
        <v>110</v>
      </c>
      <c r="J14">
        <v>63</v>
      </c>
      <c r="K14">
        <v>68</v>
      </c>
      <c r="L14">
        <v>131</v>
      </c>
      <c r="N14" s="157" t="s">
        <v>177</v>
      </c>
      <c r="O14" s="157"/>
      <c r="P14" s="157"/>
    </row>
    <row r="15" spans="1:16" x14ac:dyDescent="0.2">
      <c r="B15" s="72">
        <f>(B14/D14)*100</f>
        <v>55.833333333333336</v>
      </c>
      <c r="C15" s="72">
        <f>(C14/D14)*100</f>
        <v>44.166666666666664</v>
      </c>
      <c r="D15" s="1">
        <v>1</v>
      </c>
      <c r="F15" s="72">
        <f>(F14/110)*100</f>
        <v>44.545454545454547</v>
      </c>
      <c r="G15" s="72">
        <f>(G14/110)*100</f>
        <v>55.454545454545453</v>
      </c>
      <c r="H15" s="1">
        <v>1</v>
      </c>
      <c r="J15" s="72">
        <f>(J14/131)*100</f>
        <v>48.091603053435115</v>
      </c>
      <c r="K15" s="72">
        <f>(K14/131)*100</f>
        <v>51.908396946564885</v>
      </c>
      <c r="L15" s="1">
        <v>1</v>
      </c>
      <c r="N15" t="s">
        <v>170</v>
      </c>
      <c r="O15" t="s">
        <v>171</v>
      </c>
      <c r="P15" t="s">
        <v>178</v>
      </c>
    </row>
    <row r="16" spans="1:16" x14ac:dyDescent="0.2">
      <c r="N16" s="73">
        <f>AVERAGE(B15,F15,J15)</f>
        <v>49.490130310740994</v>
      </c>
      <c r="O16" s="73">
        <f>AVERAGE(C15,G15,K15)</f>
        <v>50.509869689259006</v>
      </c>
      <c r="P16">
        <v>100</v>
      </c>
    </row>
    <row r="17" spans="1:19" x14ac:dyDescent="0.2">
      <c r="N17" s="72">
        <v>5.5381318001879274</v>
      </c>
      <c r="O17" s="72">
        <v>5.5381318001879274</v>
      </c>
      <c r="P17" s="15" t="s">
        <v>63</v>
      </c>
    </row>
    <row r="18" spans="1:19" x14ac:dyDescent="0.2">
      <c r="N18" s="72">
        <v>3.1974418856461266</v>
      </c>
      <c r="O18" s="72">
        <v>3.1974418856461266</v>
      </c>
      <c r="P18" s="15" t="s">
        <v>59</v>
      </c>
      <c r="R18" s="72"/>
      <c r="S18" s="72"/>
    </row>
    <row r="19" spans="1:19" x14ac:dyDescent="0.2">
      <c r="A19" t="s">
        <v>31</v>
      </c>
      <c r="D19" s="110" t="s">
        <v>397</v>
      </c>
      <c r="E19" s="110"/>
      <c r="I19" t="s">
        <v>95</v>
      </c>
      <c r="K19" s="110" t="s">
        <v>398</v>
      </c>
      <c r="L19" s="110"/>
      <c r="R19" s="72"/>
      <c r="S19" s="72"/>
    </row>
    <row r="20" spans="1:19" x14ac:dyDescent="0.2">
      <c r="R20" s="72"/>
      <c r="S20" s="72"/>
    </row>
    <row r="21" spans="1:19" ht="16" thickBot="1" x14ac:dyDescent="0.25">
      <c r="A21" t="s">
        <v>34</v>
      </c>
      <c r="I21" t="s">
        <v>96</v>
      </c>
      <c r="P21" s="114" t="s">
        <v>425</v>
      </c>
      <c r="Q21" s="114"/>
    </row>
    <row r="22" spans="1:19" x14ac:dyDescent="0.2">
      <c r="A22" s="3" t="s">
        <v>35</v>
      </c>
      <c r="B22" s="3" t="s">
        <v>36</v>
      </c>
      <c r="C22" s="3" t="s">
        <v>37</v>
      </c>
      <c r="D22" s="3" t="s">
        <v>38</v>
      </c>
      <c r="E22" s="3" t="s">
        <v>39</v>
      </c>
      <c r="I22" s="154" t="s">
        <v>97</v>
      </c>
      <c r="J22" s="154" t="s">
        <v>98</v>
      </c>
      <c r="K22" s="154" t="s">
        <v>99</v>
      </c>
      <c r="L22" s="154" t="s">
        <v>100</v>
      </c>
      <c r="M22" s="154" t="s">
        <v>39</v>
      </c>
      <c r="P22" s="11" t="s">
        <v>54</v>
      </c>
      <c r="Q22" s="12"/>
    </row>
    <row r="23" spans="1:19" x14ac:dyDescent="0.2">
      <c r="A23" t="s">
        <v>41</v>
      </c>
      <c r="B23">
        <v>3</v>
      </c>
      <c r="C23">
        <v>142.18524531024531</v>
      </c>
      <c r="D23">
        <v>47.395081770081767</v>
      </c>
      <c r="E23">
        <v>13.823564974020419</v>
      </c>
      <c r="I23" s="152" t="s">
        <v>101</v>
      </c>
      <c r="J23" s="152">
        <v>3</v>
      </c>
      <c r="K23" s="152">
        <v>142.18524531024531</v>
      </c>
      <c r="L23" s="152">
        <v>47.395081770081767</v>
      </c>
      <c r="M23" s="152">
        <v>13.823564974020419</v>
      </c>
    </row>
    <row r="24" spans="1:19" ht="16" thickBot="1" x14ac:dyDescent="0.25">
      <c r="A24" s="4" t="s">
        <v>42</v>
      </c>
      <c r="B24" s="4">
        <v>3</v>
      </c>
      <c r="C24" s="4">
        <v>148.59616013142238</v>
      </c>
      <c r="D24" s="4">
        <v>49.532053377140791</v>
      </c>
      <c r="E24" s="4">
        <v>30.670903836252773</v>
      </c>
      <c r="I24" s="153" t="s">
        <v>102</v>
      </c>
      <c r="J24" s="153">
        <v>3</v>
      </c>
      <c r="K24" s="153">
        <v>105.91525179772107</v>
      </c>
      <c r="L24" s="153">
        <v>35.305083932573687</v>
      </c>
      <c r="M24" s="153">
        <v>7.152016450484421</v>
      </c>
    </row>
    <row r="26" spans="1:19" x14ac:dyDescent="0.2">
      <c r="R26" s="156"/>
    </row>
    <row r="27" spans="1:19" ht="16" thickBot="1" x14ac:dyDescent="0.25">
      <c r="A27" t="s">
        <v>44</v>
      </c>
      <c r="I27" t="s">
        <v>103</v>
      </c>
    </row>
    <row r="28" spans="1:19" x14ac:dyDescent="0.2">
      <c r="A28" s="3" t="s">
        <v>45</v>
      </c>
      <c r="B28" s="3" t="s">
        <v>46</v>
      </c>
      <c r="C28" s="3" t="s">
        <v>47</v>
      </c>
      <c r="D28" s="3" t="s">
        <v>48</v>
      </c>
      <c r="E28" s="3" t="s">
        <v>49</v>
      </c>
      <c r="F28" s="3" t="s">
        <v>50</v>
      </c>
      <c r="G28" s="3" t="s">
        <v>51</v>
      </c>
      <c r="I28" s="154" t="s">
        <v>104</v>
      </c>
      <c r="J28" s="154" t="s">
        <v>105</v>
      </c>
      <c r="K28" s="154" t="s">
        <v>106</v>
      </c>
      <c r="L28" s="154" t="s">
        <v>107</v>
      </c>
      <c r="M28" s="154" t="s">
        <v>49</v>
      </c>
      <c r="N28" s="154" t="s">
        <v>108</v>
      </c>
      <c r="O28" s="154" t="s">
        <v>109</v>
      </c>
    </row>
    <row r="29" spans="1:19" x14ac:dyDescent="0.2">
      <c r="A29" t="s">
        <v>52</v>
      </c>
      <c r="B29">
        <v>6.8499714740646311</v>
      </c>
      <c r="C29">
        <v>1</v>
      </c>
      <c r="D29">
        <v>6.8499714740646311</v>
      </c>
      <c r="E29">
        <v>0.30790215760405087</v>
      </c>
      <c r="F29">
        <v>0.60853533420694483</v>
      </c>
      <c r="G29">
        <v>7.708647422176786</v>
      </c>
      <c r="I29" s="152" t="s">
        <v>110</v>
      </c>
      <c r="J29" s="152">
        <v>219.25207156642512</v>
      </c>
      <c r="K29" s="152">
        <v>1</v>
      </c>
      <c r="L29" s="152">
        <v>219.25207156642512</v>
      </c>
      <c r="M29" s="152">
        <v>20.90545831642909</v>
      </c>
      <c r="N29" s="152">
        <v>1.0243337805517878E-2</v>
      </c>
      <c r="O29" s="152">
        <v>7.708647422176786</v>
      </c>
    </row>
    <row r="30" spans="1:19" x14ac:dyDescent="0.2">
      <c r="A30" t="s">
        <v>53</v>
      </c>
      <c r="B30">
        <v>88.98893762054638</v>
      </c>
      <c r="C30">
        <v>4</v>
      </c>
      <c r="D30">
        <v>22.247234405136595</v>
      </c>
      <c r="I30" s="152" t="s">
        <v>111</v>
      </c>
      <c r="J30" s="152">
        <v>41.951162849009677</v>
      </c>
      <c r="K30" s="152">
        <v>4</v>
      </c>
      <c r="L30" s="152">
        <v>10.487790712252419</v>
      </c>
      <c r="M30" s="152"/>
      <c r="N30" s="152"/>
      <c r="O30" s="152"/>
    </row>
    <row r="31" spans="1:19" x14ac:dyDescent="0.2">
      <c r="I31" s="152"/>
      <c r="J31" s="152"/>
      <c r="K31" s="152"/>
      <c r="L31" s="152"/>
      <c r="M31" s="152"/>
      <c r="N31" s="152"/>
      <c r="O31" s="152"/>
    </row>
    <row r="32" spans="1:19" ht="16" thickBot="1" x14ac:dyDescent="0.25">
      <c r="A32" s="4" t="s">
        <v>55</v>
      </c>
      <c r="B32" s="4">
        <v>95.838909094611012</v>
      </c>
      <c r="C32" s="4">
        <v>5</v>
      </c>
      <c r="D32" s="151"/>
      <c r="E32" s="151"/>
      <c r="F32" s="151"/>
      <c r="G32" s="4"/>
      <c r="I32" s="153" t="s">
        <v>55</v>
      </c>
      <c r="J32" s="153">
        <v>261.20323441543479</v>
      </c>
      <c r="K32" s="153">
        <v>5</v>
      </c>
      <c r="L32" s="153"/>
      <c r="M32" s="153"/>
      <c r="N32" s="153"/>
      <c r="O32" s="153"/>
    </row>
  </sheetData>
  <mergeCells count="10">
    <mergeCell ref="P21:Q21"/>
    <mergeCell ref="N1:P1"/>
    <mergeCell ref="N2:P2"/>
    <mergeCell ref="N8:P8"/>
    <mergeCell ref="N14:P14"/>
    <mergeCell ref="D19:E19"/>
    <mergeCell ref="K19:L19"/>
    <mergeCell ref="B1:D1"/>
    <mergeCell ref="F1:H1"/>
    <mergeCell ref="J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C53F-2D08-804F-8634-467B87230C4C}">
  <sheetPr>
    <tabColor rgb="FF00B050"/>
  </sheetPr>
  <dimension ref="A1:X70"/>
  <sheetViews>
    <sheetView topLeftCell="A37" workbookViewId="0">
      <selection activeCell="C41" sqref="C41:D55"/>
    </sheetView>
  </sheetViews>
  <sheetFormatPr baseColWidth="10" defaultRowHeight="15" x14ac:dyDescent="0.2"/>
  <cols>
    <col min="6" max="6" width="15.1640625" customWidth="1"/>
    <col min="7" max="7" width="9.33203125" customWidth="1"/>
    <col min="9" max="9" width="20.1640625" customWidth="1"/>
    <col min="10" max="10" width="11.1640625" customWidth="1"/>
    <col min="11" max="11" width="13.6640625" customWidth="1"/>
    <col min="14" max="14" width="11.1640625" customWidth="1"/>
    <col min="15" max="15" width="10.33203125" customWidth="1"/>
    <col min="19" max="19" width="11.83203125" customWidth="1"/>
  </cols>
  <sheetData>
    <row r="1" spans="1:24" ht="16" thickBot="1" x14ac:dyDescent="0.25">
      <c r="A1" s="127" t="s">
        <v>112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7"/>
      <c r="P1" s="27"/>
      <c r="Q1" s="27"/>
      <c r="R1" s="27"/>
      <c r="S1" s="27"/>
      <c r="T1" s="27"/>
      <c r="U1" s="17"/>
      <c r="V1" s="17"/>
      <c r="W1" s="17"/>
      <c r="X1" s="17"/>
    </row>
    <row r="2" spans="1:24" ht="16" thickBot="1" x14ac:dyDescent="0.25">
      <c r="A2" s="128" t="s">
        <v>113</v>
      </c>
      <c r="B2" s="129"/>
      <c r="C2" s="129"/>
      <c r="D2" s="129"/>
      <c r="E2" s="129"/>
      <c r="F2" s="130"/>
      <c r="G2" s="26"/>
      <c r="H2" s="128" t="s">
        <v>114</v>
      </c>
      <c r="I2" s="129"/>
      <c r="J2" s="129"/>
      <c r="K2" s="129"/>
      <c r="L2" s="129"/>
      <c r="M2" s="130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4" x14ac:dyDescent="0.2">
      <c r="A3" s="27" t="s">
        <v>12</v>
      </c>
      <c r="B3" s="27" t="s">
        <v>115</v>
      </c>
      <c r="C3" s="27" t="s">
        <v>116</v>
      </c>
      <c r="D3" s="27" t="s">
        <v>117</v>
      </c>
      <c r="E3" s="27" t="s">
        <v>118</v>
      </c>
      <c r="F3" s="27" t="s">
        <v>119</v>
      </c>
      <c r="G3" s="27"/>
      <c r="H3" s="27" t="s">
        <v>12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/>
      <c r="O3" s="27"/>
      <c r="P3" s="17"/>
      <c r="Q3" s="17"/>
      <c r="R3" s="17"/>
      <c r="S3" s="17"/>
      <c r="T3" s="17"/>
      <c r="U3" s="17"/>
      <c r="V3" s="17"/>
      <c r="W3" s="17"/>
    </row>
    <row r="4" spans="1:24" x14ac:dyDescent="0.2">
      <c r="A4" s="17" t="s">
        <v>120</v>
      </c>
      <c r="B4" s="17">
        <v>6</v>
      </c>
      <c r="C4" s="17">
        <v>177</v>
      </c>
      <c r="D4" s="17">
        <v>177</v>
      </c>
      <c r="E4" s="17">
        <v>3.3898305080000002</v>
      </c>
      <c r="F4" s="17">
        <v>59.027777780000001</v>
      </c>
      <c r="G4" s="17"/>
      <c r="H4" s="17" t="s">
        <v>120</v>
      </c>
      <c r="I4" s="17">
        <v>7</v>
      </c>
      <c r="J4" s="17">
        <v>160</v>
      </c>
      <c r="K4" s="17">
        <v>160</v>
      </c>
      <c r="L4" s="17">
        <v>4.375</v>
      </c>
      <c r="M4" s="17">
        <v>58.709677419999998</v>
      </c>
      <c r="N4" s="34"/>
      <c r="O4" s="17"/>
      <c r="P4" s="17"/>
      <c r="Q4" s="17"/>
      <c r="R4" s="17"/>
      <c r="S4" s="17"/>
      <c r="T4" s="17"/>
      <c r="U4" s="17"/>
      <c r="V4" s="17"/>
      <c r="W4" s="17"/>
    </row>
    <row r="5" spans="1:24" x14ac:dyDescent="0.2">
      <c r="A5" s="17" t="s">
        <v>121</v>
      </c>
      <c r="B5" s="17">
        <v>4</v>
      </c>
      <c r="C5" s="17">
        <v>0</v>
      </c>
      <c r="D5" s="17">
        <v>170</v>
      </c>
      <c r="E5" s="17">
        <v>2.3529411759999999</v>
      </c>
      <c r="F5" s="17">
        <v>40.972222219999999</v>
      </c>
      <c r="G5" s="17"/>
      <c r="H5" s="17" t="s">
        <v>121</v>
      </c>
      <c r="I5" s="17">
        <v>4</v>
      </c>
      <c r="J5" s="17">
        <v>0</v>
      </c>
      <c r="K5" s="17">
        <v>130</v>
      </c>
      <c r="L5" s="17">
        <v>3.076923077</v>
      </c>
      <c r="M5" s="17">
        <v>41.290322580000002</v>
      </c>
      <c r="N5" s="34"/>
      <c r="O5" s="17"/>
      <c r="P5" s="17"/>
      <c r="Q5" s="17"/>
      <c r="R5" s="17"/>
      <c r="S5" s="17"/>
      <c r="T5" s="17"/>
      <c r="U5" s="17"/>
      <c r="V5" s="17"/>
      <c r="W5" s="17"/>
    </row>
    <row r="6" spans="1:24" x14ac:dyDescent="0.2">
      <c r="A6" s="28" t="s">
        <v>122</v>
      </c>
      <c r="B6" s="28"/>
      <c r="C6" s="28"/>
      <c r="D6" s="28"/>
      <c r="E6" s="28">
        <v>5.7427716850000001</v>
      </c>
      <c r="F6" s="17"/>
      <c r="G6" s="17"/>
      <c r="H6" s="28" t="s">
        <v>122</v>
      </c>
      <c r="I6" s="28"/>
      <c r="J6" s="28"/>
      <c r="K6" s="28"/>
      <c r="L6" s="28">
        <v>7.451923077</v>
      </c>
      <c r="M6" s="17"/>
      <c r="N6" s="34"/>
      <c r="O6" s="17"/>
      <c r="P6" s="17"/>
      <c r="Q6" s="17"/>
      <c r="R6" s="17"/>
      <c r="S6" s="17"/>
      <c r="T6" s="17"/>
      <c r="U6" s="17"/>
      <c r="V6" s="17"/>
      <c r="W6" s="17"/>
    </row>
    <row r="7" spans="1:24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4"/>
      <c r="O7" s="17"/>
      <c r="P7" s="17"/>
      <c r="Q7" s="17"/>
      <c r="R7" s="17"/>
      <c r="S7" s="17"/>
      <c r="T7" s="17"/>
      <c r="U7" s="17"/>
      <c r="V7" s="17"/>
      <c r="W7" s="17"/>
    </row>
    <row r="8" spans="1:24" x14ac:dyDescent="0.2">
      <c r="A8" s="17" t="s">
        <v>123</v>
      </c>
      <c r="B8" s="17">
        <v>4</v>
      </c>
      <c r="C8" s="17">
        <v>108</v>
      </c>
      <c r="D8" s="17">
        <v>108</v>
      </c>
      <c r="E8" s="17">
        <v>3.703703704</v>
      </c>
      <c r="F8" s="17">
        <v>49.056603770000002</v>
      </c>
      <c r="G8" s="17"/>
      <c r="H8" s="17" t="s">
        <v>123</v>
      </c>
      <c r="I8" s="17">
        <v>5</v>
      </c>
      <c r="J8" s="17">
        <v>141</v>
      </c>
      <c r="K8" s="17">
        <v>141</v>
      </c>
      <c r="L8" s="17">
        <v>3.546099291</v>
      </c>
      <c r="M8" s="17">
        <v>51.041666669999998</v>
      </c>
      <c r="N8" s="34"/>
      <c r="O8" s="17"/>
      <c r="P8" s="17"/>
      <c r="Q8" s="17"/>
      <c r="R8" s="17"/>
      <c r="S8" s="17"/>
      <c r="T8" s="17"/>
      <c r="U8" s="17"/>
      <c r="V8" s="17"/>
      <c r="W8" s="17"/>
    </row>
    <row r="9" spans="1:24" x14ac:dyDescent="0.2">
      <c r="A9" s="17" t="s">
        <v>124</v>
      </c>
      <c r="B9" s="17">
        <v>7</v>
      </c>
      <c r="C9" s="17">
        <v>0</v>
      </c>
      <c r="D9" s="17">
        <v>182</v>
      </c>
      <c r="E9" s="17">
        <v>3.846153846</v>
      </c>
      <c r="F9" s="17">
        <v>50.943396229999998</v>
      </c>
      <c r="G9" s="17"/>
      <c r="H9" s="17" t="s">
        <v>124</v>
      </c>
      <c r="I9" s="17">
        <v>5</v>
      </c>
      <c r="J9" s="17">
        <v>0</v>
      </c>
      <c r="K9" s="17">
        <v>147</v>
      </c>
      <c r="L9" s="17">
        <v>3.4013605440000001</v>
      </c>
      <c r="M9" s="17">
        <v>48.958333330000002</v>
      </c>
      <c r="N9" s="34"/>
      <c r="O9" s="17"/>
      <c r="P9" s="17"/>
      <c r="Q9" s="17"/>
      <c r="R9" s="17"/>
      <c r="S9" s="17"/>
      <c r="T9" s="17"/>
      <c r="U9" s="17"/>
      <c r="V9" s="17"/>
      <c r="W9" s="17"/>
    </row>
    <row r="10" spans="1:24" x14ac:dyDescent="0.2">
      <c r="A10" s="28" t="s">
        <v>122</v>
      </c>
      <c r="B10" s="28"/>
      <c r="C10" s="28"/>
      <c r="D10" s="28"/>
      <c r="E10" s="28">
        <v>7.5498575499999996</v>
      </c>
      <c r="F10" s="17"/>
      <c r="G10" s="17"/>
      <c r="H10" s="28" t="s">
        <v>122</v>
      </c>
      <c r="I10" s="28"/>
      <c r="J10" s="28"/>
      <c r="K10" s="28"/>
      <c r="L10" s="28">
        <v>6.9474598350000001</v>
      </c>
      <c r="M10" s="17"/>
      <c r="N10" s="34"/>
      <c r="O10" s="17"/>
      <c r="P10" s="17"/>
      <c r="Q10" s="17"/>
      <c r="R10" s="17"/>
      <c r="S10" s="17"/>
      <c r="T10" s="17"/>
      <c r="U10" s="17"/>
      <c r="V10" s="17"/>
      <c r="W10" s="17"/>
    </row>
    <row r="11" spans="1:24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4"/>
      <c r="O11" s="17"/>
      <c r="P11" s="17"/>
      <c r="Q11" s="17"/>
      <c r="R11" s="17"/>
      <c r="S11" s="17"/>
      <c r="T11" s="17"/>
      <c r="U11" s="17"/>
      <c r="V11" s="17"/>
      <c r="W11" s="17"/>
    </row>
    <row r="12" spans="1:24" x14ac:dyDescent="0.2">
      <c r="A12" s="17" t="s">
        <v>125</v>
      </c>
      <c r="B12" s="17">
        <v>8</v>
      </c>
      <c r="C12" s="17">
        <v>175</v>
      </c>
      <c r="D12" s="17">
        <v>175</v>
      </c>
      <c r="E12" s="17">
        <v>4.5714285710000002</v>
      </c>
      <c r="F12" s="17">
        <v>78.097622029999997</v>
      </c>
      <c r="G12" s="17"/>
      <c r="H12" s="17" t="s">
        <v>125</v>
      </c>
      <c r="I12" s="17">
        <v>8</v>
      </c>
      <c r="J12" s="17">
        <v>179</v>
      </c>
      <c r="K12" s="17">
        <v>179</v>
      </c>
      <c r="L12" s="17">
        <v>4.4692737429999996</v>
      </c>
      <c r="M12" s="17">
        <v>68.869565219999998</v>
      </c>
      <c r="N12" s="34"/>
      <c r="O12" s="17"/>
      <c r="P12" s="17"/>
      <c r="Q12" s="17"/>
      <c r="R12" s="17"/>
      <c r="S12" s="17"/>
      <c r="T12" s="17"/>
      <c r="U12" s="17"/>
      <c r="V12" s="17"/>
      <c r="W12" s="17"/>
    </row>
    <row r="13" spans="1:24" x14ac:dyDescent="0.2">
      <c r="A13" s="17" t="s">
        <v>126</v>
      </c>
      <c r="B13" s="17">
        <v>2</v>
      </c>
      <c r="C13" s="17">
        <v>0</v>
      </c>
      <c r="D13" s="17">
        <v>156</v>
      </c>
      <c r="E13" s="17">
        <v>1.2820512820000001</v>
      </c>
      <c r="F13" s="17">
        <v>21.90237797</v>
      </c>
      <c r="G13" s="17"/>
      <c r="H13" s="17" t="s">
        <v>126</v>
      </c>
      <c r="I13" s="17">
        <v>4</v>
      </c>
      <c r="J13" s="17">
        <v>0</v>
      </c>
      <c r="K13" s="17">
        <v>198</v>
      </c>
      <c r="L13" s="17">
        <v>2.0202020200000002</v>
      </c>
      <c r="M13" s="17">
        <v>31.130434780000002</v>
      </c>
      <c r="N13" s="34"/>
      <c r="O13" s="17"/>
      <c r="P13" s="17"/>
      <c r="Q13" s="17"/>
      <c r="R13" s="17"/>
      <c r="S13" s="17"/>
      <c r="T13" s="17"/>
      <c r="U13" s="17"/>
      <c r="V13" s="17"/>
      <c r="W13" s="17"/>
    </row>
    <row r="14" spans="1:24" x14ac:dyDescent="0.2">
      <c r="A14" s="28" t="s">
        <v>122</v>
      </c>
      <c r="B14" s="28"/>
      <c r="C14" s="28"/>
      <c r="D14" s="28"/>
      <c r="E14" s="28">
        <v>5.8534798529999996</v>
      </c>
      <c r="F14" s="17"/>
      <c r="G14" s="17"/>
      <c r="H14" s="28" t="s">
        <v>122</v>
      </c>
      <c r="I14" s="28"/>
      <c r="J14" s="28"/>
      <c r="K14" s="28"/>
      <c r="L14" s="28">
        <v>6.4894757629999997</v>
      </c>
      <c r="M14" s="17"/>
      <c r="N14" s="34"/>
      <c r="O14" s="17"/>
      <c r="P14" s="17"/>
      <c r="Q14" s="17"/>
      <c r="R14" s="17"/>
      <c r="S14" s="17"/>
      <c r="T14" s="17"/>
      <c r="U14" s="17"/>
      <c r="V14" s="17"/>
      <c r="W14" s="17"/>
    </row>
    <row r="15" spans="1:24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4"/>
      <c r="O15" s="17"/>
      <c r="P15" s="17"/>
      <c r="Q15" s="17"/>
      <c r="R15" s="17"/>
      <c r="S15" s="17"/>
      <c r="T15" s="17"/>
      <c r="U15" s="17"/>
      <c r="V15" s="17"/>
      <c r="W15" s="17"/>
    </row>
    <row r="16" spans="1:24" x14ac:dyDescent="0.2">
      <c r="A16" s="17" t="s">
        <v>127</v>
      </c>
      <c r="B16" s="17">
        <v>4</v>
      </c>
      <c r="C16" s="17">
        <v>108</v>
      </c>
      <c r="D16" s="17">
        <v>108</v>
      </c>
      <c r="E16" s="17">
        <v>3.703703704</v>
      </c>
      <c r="F16" s="17">
        <v>62.325581399999997</v>
      </c>
      <c r="G16" s="17"/>
      <c r="H16" s="17" t="s">
        <v>127</v>
      </c>
      <c r="I16" s="17">
        <v>5</v>
      </c>
      <c r="J16" s="17">
        <v>163</v>
      </c>
      <c r="K16" s="17">
        <v>163</v>
      </c>
      <c r="L16" s="17">
        <v>3.0674846630000001</v>
      </c>
      <c r="M16" s="17">
        <v>62.355658200000001</v>
      </c>
      <c r="N16" s="34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2">
      <c r="A17" s="17" t="s">
        <v>128</v>
      </c>
      <c r="B17" s="17">
        <v>3</v>
      </c>
      <c r="C17" s="17">
        <v>0</v>
      </c>
      <c r="D17" s="17">
        <v>134</v>
      </c>
      <c r="E17" s="17">
        <v>2.23880597</v>
      </c>
      <c r="F17" s="17">
        <v>37.674418600000003</v>
      </c>
      <c r="G17" s="17"/>
      <c r="H17" s="17" t="s">
        <v>128</v>
      </c>
      <c r="I17" s="17">
        <v>4</v>
      </c>
      <c r="J17" s="17">
        <v>0</v>
      </c>
      <c r="K17" s="17">
        <v>216</v>
      </c>
      <c r="L17" s="17">
        <v>1.851851852</v>
      </c>
      <c r="M17" s="17">
        <v>37.644341799999999</v>
      </c>
      <c r="N17" s="34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2">
      <c r="A18" s="28" t="s">
        <v>122</v>
      </c>
      <c r="B18" s="28"/>
      <c r="C18" s="28"/>
      <c r="D18" s="28"/>
      <c r="E18" s="28">
        <v>5.9425096740000001</v>
      </c>
      <c r="F18" s="17"/>
      <c r="G18" s="17"/>
      <c r="H18" s="28" t="s">
        <v>122</v>
      </c>
      <c r="I18" s="28"/>
      <c r="J18" s="28"/>
      <c r="K18" s="28"/>
      <c r="L18" s="28">
        <v>4.9193365140000003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6" thickBo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6" thickBot="1" x14ac:dyDescent="0.25">
      <c r="A21" s="128" t="s">
        <v>129</v>
      </c>
      <c r="B21" s="129"/>
      <c r="C21" s="129"/>
      <c r="D21" s="129"/>
      <c r="E21" s="129"/>
      <c r="F21" s="130"/>
      <c r="G21" s="26"/>
      <c r="H21" s="128" t="s">
        <v>130</v>
      </c>
      <c r="I21" s="129"/>
      <c r="J21" s="129"/>
      <c r="K21" s="129"/>
      <c r="L21" s="129"/>
      <c r="M21" s="130"/>
      <c r="N21" s="17"/>
      <c r="O21" s="17"/>
      <c r="P21" s="17"/>
      <c r="Q21" s="17"/>
      <c r="R21" s="17"/>
      <c r="S21" s="105"/>
      <c r="T21" s="106"/>
      <c r="U21" s="27"/>
      <c r="V21" s="17"/>
      <c r="W21" s="17"/>
    </row>
    <row r="22" spans="1:23" x14ac:dyDescent="0.2">
      <c r="A22" s="27" t="s">
        <v>12</v>
      </c>
      <c r="B22" s="27" t="s">
        <v>115</v>
      </c>
      <c r="C22" s="27" t="s">
        <v>116</v>
      </c>
      <c r="D22" s="27" t="s">
        <v>117</v>
      </c>
      <c r="E22" s="27" t="s">
        <v>118</v>
      </c>
      <c r="F22" s="27" t="s">
        <v>119</v>
      </c>
      <c r="G22" s="27"/>
      <c r="H22" s="27" t="s">
        <v>12</v>
      </c>
      <c r="I22" s="27" t="s">
        <v>115</v>
      </c>
      <c r="J22" s="27" t="s">
        <v>116</v>
      </c>
      <c r="K22" s="27" t="s">
        <v>117</v>
      </c>
      <c r="L22" s="27" t="s">
        <v>118</v>
      </c>
      <c r="M22" s="27" t="s">
        <v>119</v>
      </c>
      <c r="N22" s="27"/>
      <c r="O22" s="29" t="s">
        <v>63</v>
      </c>
      <c r="P22" s="26" t="s">
        <v>59</v>
      </c>
      <c r="Q22" s="27" t="s">
        <v>131</v>
      </c>
      <c r="S22" s="105"/>
      <c r="T22" s="106"/>
      <c r="U22" s="27"/>
      <c r="V22" s="17"/>
      <c r="W22" s="17"/>
    </row>
    <row r="23" spans="1:23" x14ac:dyDescent="0.2">
      <c r="A23" s="17" t="s">
        <v>120</v>
      </c>
      <c r="B23" s="17">
        <v>5</v>
      </c>
      <c r="C23" s="17">
        <v>133</v>
      </c>
      <c r="D23" s="17">
        <v>133</v>
      </c>
      <c r="E23" s="17">
        <v>3.7593984960000002</v>
      </c>
      <c r="F23" s="17">
        <v>58.66355866</v>
      </c>
      <c r="G23" s="17"/>
      <c r="H23" s="17" t="s">
        <v>120</v>
      </c>
      <c r="I23" s="17">
        <v>6</v>
      </c>
      <c r="J23" s="17">
        <v>156.66667000000001</v>
      </c>
      <c r="K23" s="17">
        <v>156.66669999999999</v>
      </c>
      <c r="L23" s="17">
        <v>3.8297872339999999</v>
      </c>
      <c r="M23" s="17">
        <v>59.005669429999998</v>
      </c>
      <c r="N23" s="17"/>
      <c r="O23" s="17">
        <f>STDEV(M4,F4,F23)</f>
        <v>0.19831387009386747</v>
      </c>
      <c r="P23" s="17">
        <f>O23/SQRT(3)</f>
        <v>0.11449656628273086</v>
      </c>
      <c r="Q23" s="34">
        <v>18.010000000000002</v>
      </c>
      <c r="S23" s="19"/>
      <c r="T23" s="17"/>
      <c r="U23" s="17"/>
      <c r="V23" s="17"/>
      <c r="W23" s="17"/>
    </row>
    <row r="24" spans="1:23" x14ac:dyDescent="0.2">
      <c r="A24" s="17" t="s">
        <v>121</v>
      </c>
      <c r="B24" s="17">
        <v>4</v>
      </c>
      <c r="C24" s="17">
        <v>0</v>
      </c>
      <c r="D24" s="17">
        <v>151</v>
      </c>
      <c r="E24" s="17">
        <v>2.649006623</v>
      </c>
      <c r="F24" s="17">
        <v>41.33644134</v>
      </c>
      <c r="G24" s="17"/>
      <c r="H24" s="17" t="s">
        <v>121</v>
      </c>
      <c r="I24" s="17">
        <v>4</v>
      </c>
      <c r="J24" s="17">
        <v>0</v>
      </c>
      <c r="K24" s="17">
        <v>150.33330000000001</v>
      </c>
      <c r="L24" s="17">
        <v>2.6607538800000001</v>
      </c>
      <c r="M24" s="17">
        <v>40.994330570000002</v>
      </c>
      <c r="N24" s="17"/>
      <c r="O24" s="17">
        <f>STDEV(M5,F5,F24)</f>
        <v>0.19831387009386747</v>
      </c>
      <c r="P24" s="17">
        <f>O24/SQRT(3)</f>
        <v>0.11449656628273086</v>
      </c>
      <c r="Q24" s="19"/>
      <c r="S24" s="19"/>
      <c r="T24" s="17"/>
      <c r="U24" s="17"/>
      <c r="V24" s="17"/>
      <c r="W24" s="17"/>
    </row>
    <row r="25" spans="1:23" x14ac:dyDescent="0.2">
      <c r="A25" s="28" t="s">
        <v>122</v>
      </c>
      <c r="B25" s="28"/>
      <c r="C25" s="28"/>
      <c r="D25" s="28"/>
      <c r="E25" s="28">
        <v>6.4084051190000002</v>
      </c>
      <c r="F25" s="17"/>
      <c r="G25" s="17"/>
      <c r="H25" s="28" t="s">
        <v>122</v>
      </c>
      <c r="I25" s="28"/>
      <c r="J25" s="28"/>
      <c r="K25" s="28"/>
      <c r="L25" s="28">
        <v>6.490541114</v>
      </c>
      <c r="M25" s="17"/>
      <c r="N25" s="17"/>
      <c r="O25" s="17"/>
      <c r="P25" s="17"/>
      <c r="Q25" s="19"/>
      <c r="S25" s="19"/>
      <c r="T25" s="17"/>
      <c r="U25" s="17"/>
      <c r="V25" s="17"/>
      <c r="W25" s="17"/>
    </row>
    <row r="26" spans="1:23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9"/>
      <c r="S26" s="19"/>
      <c r="T26" s="17"/>
      <c r="U26" s="17"/>
      <c r="V26" s="17"/>
      <c r="W26" s="17"/>
    </row>
    <row r="27" spans="1:23" x14ac:dyDescent="0.2">
      <c r="A27" s="17" t="s">
        <v>123</v>
      </c>
      <c r="B27" s="17">
        <v>5</v>
      </c>
      <c r="C27" s="17">
        <v>152</v>
      </c>
      <c r="D27" s="17">
        <v>152</v>
      </c>
      <c r="E27" s="17">
        <v>3.2894736839999998</v>
      </c>
      <c r="F27" s="17">
        <v>50.488599350000001</v>
      </c>
      <c r="G27" s="17"/>
      <c r="H27" s="17" t="s">
        <v>123</v>
      </c>
      <c r="I27" s="17">
        <v>4.6666667000000004</v>
      </c>
      <c r="J27" s="17">
        <v>133.66667000000001</v>
      </c>
      <c r="K27" s="17">
        <v>133.66669999999999</v>
      </c>
      <c r="L27" s="17">
        <v>3.4912718200000001</v>
      </c>
      <c r="M27" s="17">
        <v>49.709985889999999</v>
      </c>
      <c r="N27" s="17"/>
      <c r="O27" s="17">
        <f>STDEV(M8,F8,F27)</f>
        <v>1.0244485930284564</v>
      </c>
      <c r="P27" s="17">
        <f>O27/SQRT(3)</f>
        <v>0.59146567095591274</v>
      </c>
      <c r="Q27" s="19">
        <v>-0.57999999999999996</v>
      </c>
      <c r="S27" s="19"/>
      <c r="T27" s="17"/>
      <c r="U27" s="17"/>
      <c r="V27" s="17"/>
      <c r="W27" s="17"/>
    </row>
    <row r="28" spans="1:23" x14ac:dyDescent="0.2">
      <c r="A28" s="17" t="s">
        <v>124</v>
      </c>
      <c r="B28" s="17">
        <v>4</v>
      </c>
      <c r="C28" s="17">
        <v>0</v>
      </c>
      <c r="D28" s="17">
        <v>124</v>
      </c>
      <c r="E28" s="17">
        <v>3.225806452</v>
      </c>
      <c r="F28" s="17">
        <v>49.511400649999999</v>
      </c>
      <c r="G28" s="17"/>
      <c r="H28" s="17" t="s">
        <v>124</v>
      </c>
      <c r="I28" s="17">
        <v>5.3333332999999996</v>
      </c>
      <c r="J28" s="17">
        <v>0</v>
      </c>
      <c r="K28" s="17">
        <v>151</v>
      </c>
      <c r="L28" s="17">
        <v>3.5320088300000001</v>
      </c>
      <c r="M28" s="17">
        <v>50.290014110000001</v>
      </c>
      <c r="N28" s="17"/>
      <c r="O28" s="17">
        <f>STDEV(M9,F9,F28)</f>
        <v>1.0244485930284564</v>
      </c>
      <c r="P28" s="17">
        <f>O28/SQRT(3)</f>
        <v>0.59146567095591274</v>
      </c>
      <c r="Q28" s="19"/>
      <c r="S28" s="19"/>
      <c r="T28" s="17"/>
      <c r="U28" s="17"/>
      <c r="V28" s="17"/>
      <c r="W28" s="17"/>
    </row>
    <row r="29" spans="1:23" x14ac:dyDescent="0.2">
      <c r="A29" s="28" t="s">
        <v>122</v>
      </c>
      <c r="B29" s="28"/>
      <c r="C29" s="28"/>
      <c r="D29" s="28"/>
      <c r="E29" s="28">
        <v>6.5152801360000003</v>
      </c>
      <c r="F29" s="17"/>
      <c r="G29" s="17"/>
      <c r="H29" s="28" t="s">
        <v>122</v>
      </c>
      <c r="I29" s="28"/>
      <c r="J29" s="28"/>
      <c r="K29" s="28"/>
      <c r="L29" s="28">
        <v>7.0232806500000002</v>
      </c>
      <c r="M29" s="17"/>
      <c r="N29" s="17"/>
      <c r="O29" s="17"/>
      <c r="P29" s="17"/>
      <c r="Q29" s="19"/>
      <c r="S29" s="19"/>
      <c r="T29" s="17"/>
      <c r="U29" s="17"/>
      <c r="V29" s="17"/>
      <c r="W29" s="17"/>
    </row>
    <row r="30" spans="1:23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/>
      <c r="S30" s="19"/>
      <c r="T30" s="17"/>
      <c r="U30" s="17"/>
      <c r="V30" s="17"/>
      <c r="W30" s="17"/>
    </row>
    <row r="31" spans="1:23" x14ac:dyDescent="0.2">
      <c r="A31" s="17" t="s">
        <v>125</v>
      </c>
      <c r="B31" s="17">
        <v>10</v>
      </c>
      <c r="C31" s="17">
        <v>171</v>
      </c>
      <c r="D31" s="17">
        <v>171</v>
      </c>
      <c r="E31" s="17">
        <v>5.8479532159999996</v>
      </c>
      <c r="F31" s="17">
        <v>69.841269839999995</v>
      </c>
      <c r="G31" s="17"/>
      <c r="H31" s="17" t="s">
        <v>125</v>
      </c>
      <c r="I31" s="17">
        <v>8.6666667000000004</v>
      </c>
      <c r="J31" s="17">
        <v>175</v>
      </c>
      <c r="K31" s="17">
        <v>175</v>
      </c>
      <c r="L31" s="17">
        <v>4.9523809520000004</v>
      </c>
      <c r="M31" s="17">
        <v>71.307199280000006</v>
      </c>
      <c r="N31" s="17"/>
      <c r="O31" s="17">
        <f>STDEV(M12,F12,F31)</f>
        <v>5.0706441708201551</v>
      </c>
      <c r="P31" s="17">
        <f>O31/SQRT(3)</f>
        <v>2.9275377769878235</v>
      </c>
      <c r="Q31" s="19">
        <v>42.61</v>
      </c>
      <c r="S31" s="19"/>
      <c r="T31" s="17"/>
      <c r="U31" s="17"/>
      <c r="V31" s="17"/>
      <c r="W31" s="17"/>
    </row>
    <row r="32" spans="1:23" x14ac:dyDescent="0.2">
      <c r="A32" s="17" t="s">
        <v>126</v>
      </c>
      <c r="B32" s="17">
        <v>5</v>
      </c>
      <c r="C32" s="17">
        <v>0</v>
      </c>
      <c r="D32" s="17">
        <v>198</v>
      </c>
      <c r="E32" s="17">
        <v>2.525252525</v>
      </c>
      <c r="F32" s="17">
        <v>30.158730160000001</v>
      </c>
      <c r="G32" s="17"/>
      <c r="H32" s="17" t="s">
        <v>126</v>
      </c>
      <c r="I32" s="17">
        <v>3.6666666999999999</v>
      </c>
      <c r="J32" s="17">
        <v>0</v>
      </c>
      <c r="K32" s="17">
        <v>184</v>
      </c>
      <c r="L32" s="17">
        <v>1.992753623</v>
      </c>
      <c r="M32" s="17">
        <v>28.692800720000001</v>
      </c>
      <c r="N32" s="17"/>
      <c r="O32" s="17">
        <f>STDEV(M13,F13,F32)</f>
        <v>5.0706441708201213</v>
      </c>
      <c r="P32" s="17">
        <f>O32/SQRT(3)</f>
        <v>2.9275377769878039</v>
      </c>
      <c r="Q32" s="19"/>
      <c r="S32" s="19"/>
      <c r="T32" s="17"/>
      <c r="U32" s="17"/>
      <c r="V32" s="17"/>
      <c r="W32" s="17"/>
    </row>
    <row r="33" spans="1:24" x14ac:dyDescent="0.2">
      <c r="A33" s="28" t="s">
        <v>122</v>
      </c>
      <c r="B33" s="28"/>
      <c r="C33" s="28"/>
      <c r="D33" s="28"/>
      <c r="E33" s="28">
        <v>8.3732057419999997</v>
      </c>
      <c r="F33" s="17"/>
      <c r="G33" s="17"/>
      <c r="H33" s="28" t="s">
        <v>122</v>
      </c>
      <c r="I33" s="28"/>
      <c r="J33" s="28"/>
      <c r="K33" s="28"/>
      <c r="L33" s="28">
        <v>6.9451345760000001</v>
      </c>
      <c r="M33" s="17"/>
      <c r="N33" s="17"/>
      <c r="O33" s="17"/>
      <c r="P33" s="17"/>
      <c r="Q33" s="19"/>
      <c r="S33" s="19"/>
      <c r="T33" s="17"/>
      <c r="U33" s="17"/>
      <c r="V33" s="17"/>
      <c r="W33" s="17"/>
    </row>
    <row r="34" spans="1:2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  <c r="S34" s="19"/>
      <c r="T34" s="17"/>
      <c r="U34" s="17"/>
      <c r="V34" s="17"/>
      <c r="W34" s="17"/>
    </row>
    <row r="35" spans="1:24" x14ac:dyDescent="0.2">
      <c r="A35" s="17" t="s">
        <v>127</v>
      </c>
      <c r="B35" s="17">
        <v>5</v>
      </c>
      <c r="C35" s="17">
        <v>148</v>
      </c>
      <c r="D35" s="17">
        <v>148</v>
      </c>
      <c r="E35" s="17">
        <v>3.3783783779999998</v>
      </c>
      <c r="F35" s="17">
        <v>63.87306753</v>
      </c>
      <c r="G35" s="17"/>
      <c r="H35" s="17" t="s">
        <v>127</v>
      </c>
      <c r="I35" s="17">
        <v>4.6666667000000004</v>
      </c>
      <c r="J35" s="17">
        <v>139.66667000000001</v>
      </c>
      <c r="K35" s="17">
        <v>139.66669999999999</v>
      </c>
      <c r="L35" s="17">
        <v>3.341288783</v>
      </c>
      <c r="M35" s="17">
        <v>62.88093551</v>
      </c>
      <c r="N35" s="17"/>
      <c r="O35" s="17">
        <f>STDEV(M16,F16,F35)</f>
        <v>0.88488690531725323</v>
      </c>
      <c r="P35" s="17">
        <f>O35/SQRT(3)</f>
        <v>0.51088969298729103</v>
      </c>
      <c r="Q35" s="19">
        <v>25.76</v>
      </c>
      <c r="S35" s="19"/>
      <c r="T35" s="17"/>
      <c r="U35" s="17"/>
      <c r="V35" s="17"/>
      <c r="W35" s="17"/>
    </row>
    <row r="36" spans="1:24" x14ac:dyDescent="0.2">
      <c r="A36" s="17" t="s">
        <v>128</v>
      </c>
      <c r="B36" s="17">
        <v>3</v>
      </c>
      <c r="C36" s="17">
        <v>0</v>
      </c>
      <c r="D36" s="17">
        <v>157</v>
      </c>
      <c r="E36" s="17">
        <v>1.910828025</v>
      </c>
      <c r="F36" s="17">
        <v>36.12693247</v>
      </c>
      <c r="G36" s="17"/>
      <c r="H36" s="17" t="s">
        <v>128</v>
      </c>
      <c r="I36" s="17">
        <v>3.3333333000000001</v>
      </c>
      <c r="J36" s="17">
        <v>0</v>
      </c>
      <c r="K36" s="17">
        <v>169</v>
      </c>
      <c r="L36" s="17">
        <v>1.972386588</v>
      </c>
      <c r="M36" s="17">
        <v>37.11906449</v>
      </c>
      <c r="N36" s="17"/>
      <c r="O36" s="17">
        <f>STDEV(M17,F17,F36)</f>
        <v>0.88488690531725323</v>
      </c>
      <c r="P36" s="17">
        <f>O36/SQRT(3)</f>
        <v>0.51088969298729103</v>
      </c>
      <c r="Q36" s="17"/>
      <c r="R36" s="17"/>
      <c r="S36" s="17"/>
      <c r="T36" s="17"/>
      <c r="U36" s="17"/>
      <c r="V36" s="17"/>
      <c r="W36" s="17"/>
    </row>
    <row r="37" spans="1:24" x14ac:dyDescent="0.2">
      <c r="A37" s="28" t="s">
        <v>122</v>
      </c>
      <c r="B37" s="28"/>
      <c r="C37" s="28"/>
      <c r="D37" s="28"/>
      <c r="E37" s="28">
        <v>5.2892064039999998</v>
      </c>
      <c r="F37" s="17"/>
      <c r="G37" s="17"/>
      <c r="H37" s="28" t="s">
        <v>122</v>
      </c>
      <c r="I37" s="28"/>
      <c r="J37" s="28"/>
      <c r="K37" s="28"/>
      <c r="L37" s="28">
        <v>5.3136753710000004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x14ac:dyDescent="0.2">
      <c r="A41" s="17"/>
      <c r="B41" s="17"/>
      <c r="C41" s="17"/>
      <c r="D41" s="17"/>
      <c r="E41" s="17"/>
      <c r="F41" s="17" t="s">
        <v>31</v>
      </c>
      <c r="G41" s="17" t="s">
        <v>132</v>
      </c>
      <c r="H41" s="17" t="s">
        <v>133</v>
      </c>
      <c r="I41" s="17"/>
      <c r="J41" s="17"/>
      <c r="K41" s="17"/>
      <c r="L41" s="17"/>
      <c r="M41" s="17"/>
      <c r="N41" s="17" t="s">
        <v>31</v>
      </c>
      <c r="O41" s="17" t="s">
        <v>134</v>
      </c>
      <c r="P41" s="17" t="s">
        <v>135</v>
      </c>
      <c r="Q41" s="17"/>
      <c r="R41" s="17"/>
      <c r="S41" s="17"/>
      <c r="T41" s="17"/>
    </row>
    <row r="42" spans="1:2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4" ht="16" thickBot="1" x14ac:dyDescent="0.25">
      <c r="A43" s="17"/>
      <c r="B43" s="17"/>
      <c r="C43" s="17"/>
      <c r="D43" s="17"/>
      <c r="E43" s="17"/>
      <c r="F43" s="17" t="s">
        <v>34</v>
      </c>
      <c r="G43" s="17"/>
      <c r="H43" s="17"/>
      <c r="I43" s="17"/>
      <c r="J43" s="17"/>
      <c r="K43" s="17"/>
      <c r="L43" s="17"/>
      <c r="M43" s="17"/>
      <c r="N43" s="17" t="s">
        <v>34</v>
      </c>
      <c r="O43" s="17"/>
      <c r="P43" s="17"/>
      <c r="Q43" s="17"/>
      <c r="R43" s="17"/>
      <c r="S43" s="17"/>
      <c r="T43" s="17"/>
    </row>
    <row r="44" spans="1:24" x14ac:dyDescent="0.2">
      <c r="A44" s="17"/>
      <c r="B44" s="17"/>
      <c r="C44" s="17"/>
      <c r="D44" s="17"/>
      <c r="E44" s="17"/>
      <c r="F44" s="23" t="s">
        <v>35</v>
      </c>
      <c r="G44" s="23" t="s">
        <v>36</v>
      </c>
      <c r="H44" s="23" t="s">
        <v>37</v>
      </c>
      <c r="I44" s="23" t="s">
        <v>38</v>
      </c>
      <c r="J44" s="23" t="s">
        <v>39</v>
      </c>
      <c r="K44" s="17"/>
      <c r="L44" s="17"/>
      <c r="M44" s="17"/>
      <c r="N44" s="23" t="s">
        <v>35</v>
      </c>
      <c r="O44" s="23" t="s">
        <v>36</v>
      </c>
      <c r="P44" s="23" t="s">
        <v>37</v>
      </c>
      <c r="Q44" s="23" t="s">
        <v>38</v>
      </c>
      <c r="R44" s="23" t="s">
        <v>39</v>
      </c>
      <c r="S44" s="17"/>
      <c r="T44" s="17"/>
    </row>
    <row r="45" spans="1:24" x14ac:dyDescent="0.2">
      <c r="A45" s="17"/>
      <c r="B45" s="17"/>
      <c r="C45" s="17"/>
      <c r="D45" s="17"/>
      <c r="E45" s="17"/>
      <c r="F45" s="17" t="s">
        <v>41</v>
      </c>
      <c r="G45" s="17">
        <v>3</v>
      </c>
      <c r="H45" s="17">
        <v>176.40101000000001</v>
      </c>
      <c r="I45" s="17">
        <v>58.800339999999998</v>
      </c>
      <c r="J45" s="17">
        <v>3.9328389999999998E-2</v>
      </c>
      <c r="K45" s="17"/>
      <c r="L45" s="17"/>
      <c r="M45" s="17"/>
      <c r="N45" s="17" t="s">
        <v>41</v>
      </c>
      <c r="O45" s="17">
        <v>3</v>
      </c>
      <c r="P45" s="17">
        <v>176.401014</v>
      </c>
      <c r="Q45" s="17">
        <v>58.800338000000004</v>
      </c>
      <c r="R45" s="17">
        <v>3.9328389999999998E-2</v>
      </c>
      <c r="S45" s="17"/>
      <c r="T45" s="17"/>
    </row>
    <row r="46" spans="1:24" ht="16" thickBot="1" x14ac:dyDescent="0.25">
      <c r="A46" s="17"/>
      <c r="B46" s="17"/>
      <c r="C46" s="17"/>
      <c r="D46" s="17"/>
      <c r="E46" s="17"/>
      <c r="F46" s="24" t="s">
        <v>42</v>
      </c>
      <c r="G46" s="24">
        <v>3</v>
      </c>
      <c r="H46" s="24">
        <v>150.58687</v>
      </c>
      <c r="I46" s="24">
        <v>50.195619999999998</v>
      </c>
      <c r="J46" s="24">
        <v>1.0494949119999999</v>
      </c>
      <c r="K46" s="17"/>
      <c r="L46" s="17"/>
      <c r="M46" s="17"/>
      <c r="N46" s="24" t="s">
        <v>42</v>
      </c>
      <c r="O46" s="24">
        <v>3</v>
      </c>
      <c r="P46" s="24">
        <v>216.808457</v>
      </c>
      <c r="Q46" s="24">
        <v>72.269485700000004</v>
      </c>
      <c r="R46" s="24">
        <v>25.711432299999998</v>
      </c>
      <c r="S46" s="17"/>
      <c r="T46" s="17"/>
    </row>
    <row r="47" spans="1:24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6" thickBot="1" x14ac:dyDescent="0.25">
      <c r="A49" s="17"/>
      <c r="B49" s="17"/>
      <c r="C49" s="17"/>
      <c r="D49" s="17"/>
      <c r="E49" s="17"/>
      <c r="F49" s="17" t="s">
        <v>44</v>
      </c>
      <c r="G49" s="17"/>
      <c r="H49" s="17"/>
      <c r="I49" s="17"/>
      <c r="J49" s="17"/>
      <c r="K49" s="17"/>
      <c r="L49" s="17"/>
      <c r="M49" s="17"/>
      <c r="N49" s="17" t="s">
        <v>44</v>
      </c>
      <c r="O49" s="17"/>
      <c r="P49" s="17"/>
      <c r="Q49" s="17"/>
      <c r="R49" s="17"/>
      <c r="S49" s="17"/>
      <c r="T49" s="17"/>
    </row>
    <row r="50" spans="1:20" x14ac:dyDescent="0.2">
      <c r="A50" s="17"/>
      <c r="B50" s="17"/>
      <c r="C50" s="17"/>
      <c r="D50" s="17"/>
      <c r="E50" s="17"/>
      <c r="F50" s="23" t="s">
        <v>45</v>
      </c>
      <c r="G50" s="23" t="s">
        <v>46</v>
      </c>
      <c r="H50" s="23" t="s">
        <v>47</v>
      </c>
      <c r="I50" s="23" t="s">
        <v>48</v>
      </c>
      <c r="J50" s="23" t="s">
        <v>49</v>
      </c>
      <c r="K50" s="23" t="s">
        <v>50</v>
      </c>
      <c r="L50" s="23" t="s">
        <v>51</v>
      </c>
      <c r="M50" s="17"/>
      <c r="N50" s="23" t="s">
        <v>45</v>
      </c>
      <c r="O50" s="23" t="s">
        <v>46</v>
      </c>
      <c r="P50" s="23" t="s">
        <v>47</v>
      </c>
      <c r="Q50" s="23" t="s">
        <v>48</v>
      </c>
      <c r="R50" s="23" t="s">
        <v>49</v>
      </c>
      <c r="S50" s="23" t="s">
        <v>50</v>
      </c>
      <c r="T50" s="23" t="s">
        <v>51</v>
      </c>
    </row>
    <row r="51" spans="1:20" x14ac:dyDescent="0.2">
      <c r="A51" s="17"/>
      <c r="B51" s="17"/>
      <c r="C51" s="17"/>
      <c r="D51" s="17"/>
      <c r="E51" s="17"/>
      <c r="F51" s="17" t="s">
        <v>52</v>
      </c>
      <c r="G51" s="17">
        <v>111.06167000000001</v>
      </c>
      <c r="H51" s="17">
        <v>1</v>
      </c>
      <c r="I51" s="17">
        <v>111.0617</v>
      </c>
      <c r="J51" s="17">
        <v>204.00311439999999</v>
      </c>
      <c r="K51" s="17">
        <v>1.3957800000000001E-4</v>
      </c>
      <c r="L51" s="17">
        <v>7.7085999999999997</v>
      </c>
      <c r="M51" s="17"/>
      <c r="N51" s="17" t="s">
        <v>52</v>
      </c>
      <c r="O51" s="17">
        <v>272.12691100000001</v>
      </c>
      <c r="P51" s="17">
        <v>1</v>
      </c>
      <c r="Q51" s="17">
        <v>272.12691100000001</v>
      </c>
      <c r="R51" s="17">
        <v>21.135446399999999</v>
      </c>
      <c r="S51" s="17">
        <v>1.00511E-2</v>
      </c>
      <c r="T51" s="17">
        <v>7.7086474200000001</v>
      </c>
    </row>
    <row r="52" spans="1:20" x14ac:dyDescent="0.2">
      <c r="A52" s="17"/>
      <c r="B52" s="17"/>
      <c r="C52" s="17"/>
      <c r="D52" s="17"/>
      <c r="E52" s="17"/>
      <c r="F52" s="17" t="s">
        <v>53</v>
      </c>
      <c r="G52" s="17">
        <v>2.1776466000000001</v>
      </c>
      <c r="H52" s="17">
        <v>4</v>
      </c>
      <c r="I52" s="17">
        <v>0.54441200000000001</v>
      </c>
      <c r="J52" s="17"/>
      <c r="K52" s="17"/>
      <c r="L52" s="17"/>
      <c r="M52" s="17"/>
      <c r="N52" s="17" t="s">
        <v>53</v>
      </c>
      <c r="O52" s="17">
        <v>51.501521400000001</v>
      </c>
      <c r="P52" s="17">
        <v>4</v>
      </c>
      <c r="Q52" s="17">
        <v>12.8753803</v>
      </c>
      <c r="R52" s="17"/>
      <c r="S52" s="17"/>
      <c r="T52" s="17"/>
    </row>
    <row r="53" spans="1:20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6" thickBot="1" x14ac:dyDescent="0.25">
      <c r="A54" s="17"/>
      <c r="B54" s="17"/>
      <c r="C54" s="17"/>
      <c r="D54" s="17"/>
      <c r="E54" s="17"/>
      <c r="F54" s="24" t="s">
        <v>55</v>
      </c>
      <c r="G54" s="24">
        <v>113.23932000000001</v>
      </c>
      <c r="H54" s="24">
        <v>5</v>
      </c>
      <c r="I54" s="24"/>
      <c r="J54" s="24"/>
      <c r="K54" s="24"/>
      <c r="L54" s="24"/>
      <c r="M54" s="17"/>
      <c r="N54" s="24" t="s">
        <v>55</v>
      </c>
      <c r="O54" s="24">
        <v>323.62843299999997</v>
      </c>
      <c r="P54" s="24">
        <v>5</v>
      </c>
      <c r="Q54" s="24"/>
      <c r="R54" s="24"/>
      <c r="S54" s="24"/>
      <c r="T54" s="24"/>
    </row>
    <row r="55" spans="1:20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">
      <c r="A57" s="17"/>
      <c r="B57" s="17"/>
      <c r="C57" s="17"/>
      <c r="D57" s="17"/>
      <c r="E57" s="17"/>
      <c r="F57" s="17" t="s">
        <v>31</v>
      </c>
      <c r="G57" s="17" t="s">
        <v>136</v>
      </c>
      <c r="H57" s="17" t="s">
        <v>135</v>
      </c>
      <c r="I57" s="17"/>
      <c r="J57" s="17"/>
      <c r="K57" s="17"/>
      <c r="L57" s="17"/>
      <c r="M57" s="17"/>
      <c r="N57" s="17" t="s">
        <v>31</v>
      </c>
      <c r="O57" s="17" t="s">
        <v>137</v>
      </c>
      <c r="P57" s="17" t="s">
        <v>133</v>
      </c>
      <c r="Q57" s="17"/>
      <c r="R57" s="17"/>
      <c r="S57" s="17"/>
      <c r="T57" s="17"/>
    </row>
    <row r="58" spans="1:20" x14ac:dyDescent="0.2">
      <c r="A58" s="17"/>
      <c r="B58" s="163" t="s">
        <v>409</v>
      </c>
      <c r="C58" s="27" t="s">
        <v>138</v>
      </c>
      <c r="D58" s="2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6" thickBot="1" x14ac:dyDescent="0.25">
      <c r="A59" s="17"/>
      <c r="B59" s="163"/>
      <c r="C59" s="17"/>
      <c r="D59" s="17"/>
      <c r="E59" s="17"/>
      <c r="F59" s="17" t="s">
        <v>34</v>
      </c>
      <c r="G59" s="17"/>
      <c r="H59" s="17"/>
      <c r="I59" s="17"/>
      <c r="J59" s="17"/>
      <c r="K59" s="17"/>
      <c r="L59" s="17"/>
      <c r="M59" s="17"/>
      <c r="N59" s="17" t="s">
        <v>34</v>
      </c>
      <c r="O59" s="17"/>
      <c r="P59" s="17"/>
      <c r="Q59" s="17"/>
      <c r="R59" s="17"/>
      <c r="S59" s="17"/>
      <c r="T59" s="17"/>
    </row>
    <row r="60" spans="1:20" x14ac:dyDescent="0.2">
      <c r="A60" s="17"/>
      <c r="B60" s="17"/>
      <c r="C60" s="17"/>
      <c r="D60" s="17"/>
      <c r="E60" s="17"/>
      <c r="F60" s="23" t="s">
        <v>35</v>
      </c>
      <c r="G60" s="23" t="s">
        <v>36</v>
      </c>
      <c r="H60" s="23" t="s">
        <v>37</v>
      </c>
      <c r="I60" s="23" t="s">
        <v>38</v>
      </c>
      <c r="J60" s="23" t="s">
        <v>39</v>
      </c>
      <c r="K60" s="17"/>
      <c r="L60" s="17"/>
      <c r="M60" s="17"/>
      <c r="N60" s="23" t="s">
        <v>35</v>
      </c>
      <c r="O60" s="23" t="s">
        <v>36</v>
      </c>
      <c r="P60" s="23" t="s">
        <v>37</v>
      </c>
      <c r="Q60" s="23" t="s">
        <v>38</v>
      </c>
      <c r="R60" s="23" t="s">
        <v>39</v>
      </c>
      <c r="S60" s="17"/>
      <c r="T60" s="17"/>
    </row>
    <row r="61" spans="1:20" x14ac:dyDescent="0.2">
      <c r="A61" s="17"/>
      <c r="B61" s="17"/>
      <c r="C61" s="17"/>
      <c r="D61" s="17"/>
      <c r="E61" s="17"/>
      <c r="F61" s="17" t="s">
        <v>41</v>
      </c>
      <c r="G61" s="17">
        <v>3</v>
      </c>
      <c r="H61" s="17">
        <v>216.80846</v>
      </c>
      <c r="I61" s="17">
        <v>72.269490000000005</v>
      </c>
      <c r="J61" s="17">
        <v>25.711432299999998</v>
      </c>
      <c r="K61" s="17"/>
      <c r="L61" s="17"/>
      <c r="M61" s="17"/>
      <c r="N61" s="17" t="s">
        <v>41</v>
      </c>
      <c r="O61" s="17">
        <v>3</v>
      </c>
      <c r="P61" s="17">
        <v>150.58687</v>
      </c>
      <c r="Q61" s="17">
        <v>50.195623300000001</v>
      </c>
      <c r="R61" s="17">
        <v>1.0494949099999999</v>
      </c>
      <c r="S61" s="17"/>
      <c r="T61" s="17"/>
    </row>
    <row r="62" spans="1:20" ht="16" thickBot="1" x14ac:dyDescent="0.25">
      <c r="A62" s="17"/>
      <c r="B62" s="17"/>
      <c r="C62" s="17"/>
      <c r="D62" s="17"/>
      <c r="E62" s="17"/>
      <c r="F62" s="24" t="s">
        <v>42</v>
      </c>
      <c r="G62" s="24">
        <v>3</v>
      </c>
      <c r="H62" s="24">
        <v>188.55430999999999</v>
      </c>
      <c r="I62" s="24">
        <v>62.851439999999997</v>
      </c>
      <c r="J62" s="24">
        <v>0.78302484299999997</v>
      </c>
      <c r="K62" s="17"/>
      <c r="L62" s="17"/>
      <c r="M62" s="17"/>
      <c r="N62" s="24" t="s">
        <v>42</v>
      </c>
      <c r="O62" s="24">
        <v>3</v>
      </c>
      <c r="P62" s="24">
        <v>188.55430699999999</v>
      </c>
      <c r="Q62" s="24">
        <v>62.851435700000003</v>
      </c>
      <c r="R62" s="24">
        <v>0.78302484000000006</v>
      </c>
      <c r="S62" s="17"/>
      <c r="T62" s="17"/>
    </row>
    <row r="63" spans="1:20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6" thickBot="1" x14ac:dyDescent="0.25">
      <c r="A65" s="17"/>
      <c r="B65" s="17"/>
      <c r="C65" s="17"/>
      <c r="D65" s="17"/>
      <c r="E65" s="17"/>
      <c r="F65" s="17" t="s">
        <v>44</v>
      </c>
      <c r="G65" s="17"/>
      <c r="H65" s="17"/>
      <c r="I65" s="17"/>
      <c r="J65" s="17"/>
      <c r="K65" s="17"/>
      <c r="L65" s="17"/>
      <c r="M65" s="17"/>
      <c r="N65" s="17" t="s">
        <v>44</v>
      </c>
      <c r="O65" s="17"/>
      <c r="P65" s="17"/>
      <c r="Q65" s="17"/>
      <c r="R65" s="17"/>
      <c r="S65" s="17"/>
      <c r="T65" s="17"/>
    </row>
    <row r="66" spans="1:20" x14ac:dyDescent="0.2">
      <c r="A66" s="17"/>
      <c r="B66" s="17"/>
      <c r="C66" s="17"/>
      <c r="D66" s="17"/>
      <c r="E66" s="17"/>
      <c r="F66" s="23" t="s">
        <v>45</v>
      </c>
      <c r="G66" s="23" t="s">
        <v>46</v>
      </c>
      <c r="H66" s="23" t="s">
        <v>47</v>
      </c>
      <c r="I66" s="23" t="s">
        <v>48</v>
      </c>
      <c r="J66" s="23" t="s">
        <v>49</v>
      </c>
      <c r="K66" s="23" t="s">
        <v>50</v>
      </c>
      <c r="L66" s="23" t="s">
        <v>51</v>
      </c>
      <c r="M66" s="17"/>
      <c r="N66" s="23" t="s">
        <v>45</v>
      </c>
      <c r="O66" s="23" t="s">
        <v>46</v>
      </c>
      <c r="P66" s="23" t="s">
        <v>47</v>
      </c>
      <c r="Q66" s="23" t="s">
        <v>48</v>
      </c>
      <c r="R66" s="23" t="s">
        <v>49</v>
      </c>
      <c r="S66" s="23" t="s">
        <v>50</v>
      </c>
      <c r="T66" s="23" t="s">
        <v>51</v>
      </c>
    </row>
    <row r="67" spans="1:20" x14ac:dyDescent="0.2">
      <c r="A67" s="17"/>
      <c r="B67" s="17"/>
      <c r="C67" s="17"/>
      <c r="D67" s="17"/>
      <c r="E67" s="17"/>
      <c r="F67" s="17" t="s">
        <v>52</v>
      </c>
      <c r="G67" s="17">
        <v>133.04949999999999</v>
      </c>
      <c r="H67" s="17">
        <v>1</v>
      </c>
      <c r="I67" s="17">
        <v>133.04949999999999</v>
      </c>
      <c r="J67" s="17">
        <v>10.04357233</v>
      </c>
      <c r="K67" s="17">
        <v>3.3885079999999998E-2</v>
      </c>
      <c r="L67" s="17">
        <v>7.7085999999999997</v>
      </c>
      <c r="M67" s="17"/>
      <c r="N67" s="17" t="s">
        <v>52</v>
      </c>
      <c r="O67" s="17">
        <v>240.25438299999999</v>
      </c>
      <c r="P67" s="17">
        <v>1</v>
      </c>
      <c r="Q67" s="17">
        <v>240.25438299999999</v>
      </c>
      <c r="R67" s="17">
        <v>262.21205200000003</v>
      </c>
      <c r="S67" s="17">
        <v>8.5091000000000002E-5</v>
      </c>
      <c r="T67" s="17">
        <v>7.7086474200000001</v>
      </c>
    </row>
    <row r="68" spans="1:20" x14ac:dyDescent="0.2">
      <c r="A68" s="17"/>
      <c r="B68" s="17"/>
      <c r="C68" s="17"/>
      <c r="D68" s="17"/>
      <c r="E68" s="17"/>
      <c r="F68" s="17" t="s">
        <v>53</v>
      </c>
      <c r="G68" s="17">
        <v>52.988914000000001</v>
      </c>
      <c r="H68" s="17">
        <v>4</v>
      </c>
      <c r="I68" s="17">
        <v>13.24723</v>
      </c>
      <c r="J68" s="17"/>
      <c r="K68" s="17"/>
      <c r="L68" s="17"/>
      <c r="M68" s="17"/>
      <c r="N68" s="17" t="s">
        <v>53</v>
      </c>
      <c r="O68" s="17">
        <v>3.6650395100000002</v>
      </c>
      <c r="P68" s="17">
        <v>4</v>
      </c>
      <c r="Q68" s="17">
        <v>0.91625988000000003</v>
      </c>
      <c r="R68" s="17"/>
      <c r="S68" s="17"/>
      <c r="T68" s="17"/>
    </row>
    <row r="69" spans="1:20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6" thickBot="1" x14ac:dyDescent="0.25">
      <c r="A70" s="17"/>
      <c r="B70" s="17"/>
      <c r="C70" s="17"/>
      <c r="D70" s="17"/>
      <c r="E70" s="17"/>
      <c r="F70" s="24" t="s">
        <v>55</v>
      </c>
      <c r="G70" s="24">
        <v>186.03841</v>
      </c>
      <c r="H70" s="24">
        <v>5</v>
      </c>
      <c r="I70" s="24"/>
      <c r="J70" s="24"/>
      <c r="K70" s="24"/>
      <c r="L70" s="24"/>
      <c r="M70" s="17"/>
      <c r="N70" s="24" t="s">
        <v>55</v>
      </c>
      <c r="O70" s="24">
        <v>243.91942299999999</v>
      </c>
      <c r="P70" s="24">
        <v>5</v>
      </c>
      <c r="Q70" s="24"/>
      <c r="R70" s="24"/>
      <c r="S70" s="24"/>
      <c r="T70" s="24"/>
    </row>
  </sheetData>
  <mergeCells count="6">
    <mergeCell ref="B58:B59"/>
    <mergeCell ref="A1:N1"/>
    <mergeCell ref="A2:F2"/>
    <mergeCell ref="H2:M2"/>
    <mergeCell ref="A21:F21"/>
    <mergeCell ref="H21:M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F0A2-9DE8-224E-AB0D-ED1CA020FB4C}">
  <sheetPr>
    <tabColor rgb="FF00B050"/>
  </sheetPr>
  <dimension ref="A1:O61"/>
  <sheetViews>
    <sheetView workbookViewId="0">
      <selection activeCell="F11" sqref="F11:G12"/>
    </sheetView>
  </sheetViews>
  <sheetFormatPr baseColWidth="10" defaultRowHeight="15" x14ac:dyDescent="0.2"/>
  <cols>
    <col min="2" max="2" width="9.6640625" customWidth="1"/>
    <col min="5" max="5" width="7.33203125" customWidth="1"/>
    <col min="8" max="8" width="9.33203125" customWidth="1"/>
    <col min="9" max="9" width="19.83203125" customWidth="1"/>
    <col min="10" max="10" width="14" customWidth="1"/>
    <col min="15" max="15" width="11.5" customWidth="1"/>
  </cols>
  <sheetData>
    <row r="1" spans="1:15" x14ac:dyDescent="0.2">
      <c r="A1" s="159" t="s">
        <v>173</v>
      </c>
      <c r="B1" t="s">
        <v>28</v>
      </c>
      <c r="C1" t="s">
        <v>29</v>
      </c>
      <c r="D1" t="s">
        <v>30</v>
      </c>
      <c r="F1" s="158"/>
      <c r="G1" s="158"/>
      <c r="I1" t="s">
        <v>31</v>
      </c>
      <c r="L1" s="14" t="s">
        <v>66</v>
      </c>
    </row>
    <row r="2" spans="1:15" x14ac:dyDescent="0.2">
      <c r="A2" t="s">
        <v>32</v>
      </c>
      <c r="B2">
        <v>100</v>
      </c>
      <c r="C2">
        <v>63</v>
      </c>
      <c r="D2">
        <v>81</v>
      </c>
      <c r="F2" s="158"/>
      <c r="G2" s="158"/>
    </row>
    <row r="3" spans="1:15" ht="16" thickBot="1" x14ac:dyDescent="0.25">
      <c r="A3" t="s">
        <v>33</v>
      </c>
      <c r="B3">
        <v>100</v>
      </c>
      <c r="C3">
        <v>76</v>
      </c>
      <c r="D3">
        <v>61</v>
      </c>
      <c r="F3" s="158"/>
      <c r="G3" s="158"/>
      <c r="I3" t="s">
        <v>34</v>
      </c>
    </row>
    <row r="4" spans="1:15" x14ac:dyDescent="0.2">
      <c r="A4" t="s">
        <v>40</v>
      </c>
      <c r="B4">
        <f>(B2/B3)*100</f>
        <v>100</v>
      </c>
      <c r="C4">
        <f>(C2/C3)*100</f>
        <v>82.89473684210526</v>
      </c>
      <c r="D4">
        <f>(D2/D3)*100</f>
        <v>132.78688524590163</v>
      </c>
      <c r="F4" s="158"/>
      <c r="G4" s="158"/>
      <c r="I4" s="3" t="s">
        <v>35</v>
      </c>
      <c r="J4" s="3" t="s">
        <v>36</v>
      </c>
      <c r="K4" s="3" t="s">
        <v>37</v>
      </c>
      <c r="L4" s="3" t="s">
        <v>38</v>
      </c>
      <c r="M4" s="3" t="s">
        <v>39</v>
      </c>
    </row>
    <row r="5" spans="1:15" x14ac:dyDescent="0.2">
      <c r="A5" s="2"/>
      <c r="F5" s="158"/>
      <c r="G5" s="158"/>
      <c r="I5" t="s">
        <v>41</v>
      </c>
      <c r="J5">
        <v>4</v>
      </c>
      <c r="K5">
        <v>400</v>
      </c>
      <c r="L5">
        <v>100</v>
      </c>
      <c r="M5">
        <v>0</v>
      </c>
    </row>
    <row r="6" spans="1:15" ht="16" thickBot="1" x14ac:dyDescent="0.25">
      <c r="A6" s="160" t="s">
        <v>68</v>
      </c>
      <c r="B6" t="s">
        <v>28</v>
      </c>
      <c r="C6" t="s">
        <v>29</v>
      </c>
      <c r="F6" s="158"/>
      <c r="G6" s="158"/>
      <c r="I6" s="4" t="s">
        <v>42</v>
      </c>
      <c r="J6" s="4">
        <v>4</v>
      </c>
      <c r="K6" s="4">
        <v>263.52111729669582</v>
      </c>
      <c r="L6" s="4">
        <v>65.880279324173955</v>
      </c>
      <c r="M6" s="4">
        <v>466.46652155125656</v>
      </c>
    </row>
    <row r="7" spans="1:15" x14ac:dyDescent="0.2">
      <c r="A7" t="s">
        <v>43</v>
      </c>
      <c r="B7">
        <v>100</v>
      </c>
      <c r="C7">
        <v>39</v>
      </c>
      <c r="F7" s="158"/>
      <c r="G7" s="158"/>
    </row>
    <row r="8" spans="1:15" x14ac:dyDescent="0.2">
      <c r="A8" t="s">
        <v>33</v>
      </c>
      <c r="B8">
        <v>100</v>
      </c>
      <c r="C8">
        <v>75.3</v>
      </c>
      <c r="F8" s="158"/>
      <c r="G8" s="158"/>
    </row>
    <row r="9" spans="1:15" ht="16" thickBot="1" x14ac:dyDescent="0.25">
      <c r="A9" t="s">
        <v>40</v>
      </c>
      <c r="B9">
        <v>100</v>
      </c>
      <c r="C9">
        <f>(C7/C8)*100</f>
        <v>51.792828685258961</v>
      </c>
      <c r="I9" t="s">
        <v>44</v>
      </c>
    </row>
    <row r="10" spans="1:15" x14ac:dyDescent="0.2">
      <c r="I10" s="3" t="s">
        <v>45</v>
      </c>
      <c r="J10" s="3" t="s">
        <v>46</v>
      </c>
      <c r="K10" s="3" t="s">
        <v>47</v>
      </c>
      <c r="L10" s="3" t="s">
        <v>48</v>
      </c>
      <c r="M10" s="3" t="s">
        <v>49</v>
      </c>
      <c r="N10" s="3" t="s">
        <v>50</v>
      </c>
      <c r="O10" s="3" t="s">
        <v>51</v>
      </c>
    </row>
    <row r="11" spans="1:15" x14ac:dyDescent="0.2">
      <c r="A11" s="159" t="s">
        <v>69</v>
      </c>
      <c r="B11" t="s">
        <v>28</v>
      </c>
      <c r="C11" t="s">
        <v>29</v>
      </c>
      <c r="D11" t="s">
        <v>30</v>
      </c>
      <c r="F11" s="114" t="s">
        <v>60</v>
      </c>
      <c r="G11" s="114"/>
      <c r="I11" t="s">
        <v>52</v>
      </c>
      <c r="J11">
        <v>2328.3106779927834</v>
      </c>
      <c r="K11">
        <v>1</v>
      </c>
      <c r="L11">
        <v>2328.3106779927834</v>
      </c>
      <c r="M11">
        <v>9.9827557624065673</v>
      </c>
      <c r="N11">
        <v>1.9576190442659569E-2</v>
      </c>
      <c r="O11">
        <v>5.9873776072737011</v>
      </c>
    </row>
    <row r="12" spans="1:15" x14ac:dyDescent="0.2">
      <c r="A12" t="s">
        <v>32</v>
      </c>
      <c r="B12">
        <v>100</v>
      </c>
      <c r="C12">
        <v>84</v>
      </c>
      <c r="D12">
        <v>200</v>
      </c>
      <c r="F12" s="11" t="s">
        <v>54</v>
      </c>
      <c r="G12" s="12"/>
      <c r="I12" t="s">
        <v>53</v>
      </c>
      <c r="J12">
        <v>1399.3995646537737</v>
      </c>
      <c r="K12">
        <v>6</v>
      </c>
      <c r="L12">
        <v>233.23326077562896</v>
      </c>
    </row>
    <row r="13" spans="1:15" x14ac:dyDescent="0.2">
      <c r="A13" t="s">
        <v>33</v>
      </c>
      <c r="B13">
        <v>100</v>
      </c>
      <c r="C13">
        <v>98</v>
      </c>
      <c r="D13">
        <v>117</v>
      </c>
    </row>
    <row r="14" spans="1:15" ht="16" thickBot="1" x14ac:dyDescent="0.25">
      <c r="A14" t="s">
        <v>40</v>
      </c>
      <c r="B14">
        <f>(B12/B13)*100</f>
        <v>100</v>
      </c>
      <c r="C14">
        <f>(C12/C13)*100</f>
        <v>85.714285714285708</v>
      </c>
      <c r="D14">
        <f>(D12/D13)*100</f>
        <v>170.94017094017093</v>
      </c>
      <c r="I14" s="4" t="s">
        <v>55</v>
      </c>
      <c r="J14" s="4">
        <v>3727.7102426465572</v>
      </c>
      <c r="K14" s="4">
        <v>7</v>
      </c>
      <c r="L14" s="4"/>
      <c r="M14" s="4"/>
      <c r="N14" s="4"/>
      <c r="O14" s="4"/>
    </row>
    <row r="15" spans="1:15" ht="16" thickBot="1" x14ac:dyDescent="0.25">
      <c r="I15" s="4"/>
      <c r="J15" s="4"/>
      <c r="K15" s="4"/>
      <c r="L15" s="4"/>
      <c r="M15" s="4"/>
      <c r="N15" s="4"/>
      <c r="O15" s="4"/>
    </row>
    <row r="16" spans="1:15" x14ac:dyDescent="0.2">
      <c r="A16" s="160" t="s">
        <v>70</v>
      </c>
      <c r="B16" t="s">
        <v>28</v>
      </c>
      <c r="C16" t="s">
        <v>29</v>
      </c>
      <c r="D16" t="s">
        <v>62</v>
      </c>
    </row>
    <row r="17" spans="1:15" x14ac:dyDescent="0.2">
      <c r="A17" t="s">
        <v>57</v>
      </c>
      <c r="B17">
        <v>100</v>
      </c>
      <c r="C17">
        <v>47</v>
      </c>
      <c r="D17">
        <v>158</v>
      </c>
      <c r="I17" t="s">
        <v>31</v>
      </c>
      <c r="L17" s="14" t="s">
        <v>30</v>
      </c>
    </row>
    <row r="18" spans="1:15" x14ac:dyDescent="0.2">
      <c r="A18" t="s">
        <v>58</v>
      </c>
      <c r="B18">
        <v>100</v>
      </c>
      <c r="C18">
        <v>109</v>
      </c>
      <c r="D18">
        <v>72</v>
      </c>
    </row>
    <row r="19" spans="1:15" ht="16" thickBot="1" x14ac:dyDescent="0.25">
      <c r="A19" t="s">
        <v>61</v>
      </c>
      <c r="B19">
        <v>100</v>
      </c>
      <c r="C19">
        <f>(C17/C18)*100</f>
        <v>43.119266055045877</v>
      </c>
      <c r="D19">
        <f>(D17/D18)*100</f>
        <v>219.44444444444446</v>
      </c>
      <c r="I19" t="s">
        <v>34</v>
      </c>
    </row>
    <row r="20" spans="1:15" x14ac:dyDescent="0.2">
      <c r="I20" s="3" t="s">
        <v>35</v>
      </c>
      <c r="J20" s="3" t="s">
        <v>36</v>
      </c>
      <c r="K20" s="3" t="s">
        <v>37</v>
      </c>
      <c r="L20" s="3" t="s">
        <v>38</v>
      </c>
      <c r="M20" s="3" t="s">
        <v>39</v>
      </c>
    </row>
    <row r="21" spans="1:15" x14ac:dyDescent="0.2">
      <c r="A21" s="161" t="s">
        <v>172</v>
      </c>
      <c r="B21" t="s">
        <v>28</v>
      </c>
      <c r="C21" t="s">
        <v>29</v>
      </c>
      <c r="D21" t="s">
        <v>56</v>
      </c>
      <c r="I21" t="s">
        <v>41</v>
      </c>
      <c r="J21">
        <v>3</v>
      </c>
      <c r="K21">
        <v>300</v>
      </c>
      <c r="L21">
        <v>100</v>
      </c>
      <c r="M21">
        <v>0</v>
      </c>
    </row>
    <row r="22" spans="1:15" ht="16" thickBot="1" x14ac:dyDescent="0.25">
      <c r="A22" t="s">
        <v>32</v>
      </c>
      <c r="B22">
        <v>100</v>
      </c>
      <c r="C22">
        <f>AVERAGE(C2,C7,C12,C17)</f>
        <v>58.25</v>
      </c>
      <c r="D22">
        <f>AVERAGE(D2,D17,D12)</f>
        <v>146.33333333333334</v>
      </c>
      <c r="I22" s="4" t="s">
        <v>42</v>
      </c>
      <c r="J22" s="4">
        <v>3</v>
      </c>
      <c r="K22" s="4">
        <v>523.17150063051702</v>
      </c>
      <c r="L22" s="4">
        <v>174.39050021017235</v>
      </c>
      <c r="M22" s="4">
        <v>1886.3117206158131</v>
      </c>
    </row>
    <row r="23" spans="1:15" x14ac:dyDescent="0.2">
      <c r="A23" t="s">
        <v>33</v>
      </c>
      <c r="B23">
        <v>100</v>
      </c>
      <c r="C23">
        <f>AVERAGE(C3,C8,C13,C18)</f>
        <v>89.575000000000003</v>
      </c>
      <c r="D23">
        <f>AVERAGE(D3,D18,D13)</f>
        <v>83.333333333333329</v>
      </c>
    </row>
    <row r="24" spans="1:15" x14ac:dyDescent="0.2">
      <c r="A24" t="s">
        <v>40</v>
      </c>
      <c r="B24">
        <f>(B22/B23)*100</f>
        <v>100</v>
      </c>
      <c r="C24">
        <f>(C22/C23)*100</f>
        <v>65.029305051632718</v>
      </c>
      <c r="D24">
        <f>(D22/D23)*100</f>
        <v>175.60000000000002</v>
      </c>
    </row>
    <row r="25" spans="1:15" ht="16" thickBot="1" x14ac:dyDescent="0.25">
      <c r="I25" t="s">
        <v>44</v>
      </c>
    </row>
    <row r="26" spans="1:15" x14ac:dyDescent="0.2">
      <c r="B26" t="s">
        <v>64</v>
      </c>
      <c r="C26" t="s">
        <v>29</v>
      </c>
      <c r="D26" t="s">
        <v>65</v>
      </c>
      <c r="I26" s="3" t="s">
        <v>45</v>
      </c>
      <c r="J26" s="3" t="s">
        <v>46</v>
      </c>
      <c r="K26" s="3" t="s">
        <v>47</v>
      </c>
      <c r="L26" s="3" t="s">
        <v>48</v>
      </c>
      <c r="M26" s="3" t="s">
        <v>49</v>
      </c>
      <c r="N26" s="3" t="s">
        <v>50</v>
      </c>
      <c r="O26" s="3" t="s">
        <v>51</v>
      </c>
    </row>
    <row r="27" spans="1:15" x14ac:dyDescent="0.2">
      <c r="A27" s="15" t="s">
        <v>63</v>
      </c>
      <c r="B27">
        <f>STDEVA(B24,B4,B9,B14)</f>
        <v>0</v>
      </c>
      <c r="C27">
        <f>STDEVA(C4,C14,C9,C19)</f>
        <v>21.597836038623328</v>
      </c>
      <c r="D27">
        <f>STDEVA(D4,D19,D14)</f>
        <v>43.431690280437081</v>
      </c>
      <c r="I27" t="s">
        <v>52</v>
      </c>
      <c r="J27">
        <v>8300.9197822794777</v>
      </c>
      <c r="K27">
        <v>1</v>
      </c>
      <c r="L27">
        <v>8300.9197822794777</v>
      </c>
      <c r="M27">
        <v>8.801217414446791</v>
      </c>
      <c r="N27">
        <v>4.1279746392786733E-2</v>
      </c>
      <c r="O27">
        <v>7.708647422176786</v>
      </c>
    </row>
    <row r="28" spans="1:15" x14ac:dyDescent="0.2">
      <c r="A28" s="15" t="s">
        <v>59</v>
      </c>
      <c r="B28">
        <f>(B27/SQRT(4))</f>
        <v>0</v>
      </c>
      <c r="C28">
        <f>(C27/SQRT(4))</f>
        <v>10.798918019311664</v>
      </c>
      <c r="D28">
        <f>(D27/SQRT(3))</f>
        <v>25.075298074770803</v>
      </c>
      <c r="I28" t="s">
        <v>53</v>
      </c>
      <c r="J28">
        <v>3772.6234412316198</v>
      </c>
      <c r="K28">
        <v>4</v>
      </c>
      <c r="L28">
        <v>943.15586030790496</v>
      </c>
    </row>
    <row r="29" spans="1:15" x14ac:dyDescent="0.2">
      <c r="A29" s="16" t="s">
        <v>71</v>
      </c>
      <c r="C29">
        <f>N11</f>
        <v>1.9576190442659569E-2</v>
      </c>
      <c r="D29">
        <f>N27</f>
        <v>4.1279746392786733E-2</v>
      </c>
    </row>
    <row r="30" spans="1:15" ht="16" thickBot="1" x14ac:dyDescent="0.25">
      <c r="I30" s="4" t="s">
        <v>55</v>
      </c>
      <c r="J30" s="4">
        <v>12073.543223511097</v>
      </c>
      <c r="K30" s="4">
        <v>5</v>
      </c>
      <c r="L30" s="4"/>
      <c r="M30" s="4"/>
      <c r="N30" s="4"/>
      <c r="O30" s="4"/>
    </row>
    <row r="34" spans="1:14" x14ac:dyDescent="0.2">
      <c r="G34" s="13"/>
    </row>
    <row r="36" spans="1:14" x14ac:dyDescent="0.2">
      <c r="H36" s="13"/>
      <c r="I36" s="13"/>
    </row>
    <row r="41" spans="1:14" x14ac:dyDescent="0.2">
      <c r="G41" s="13"/>
    </row>
    <row r="42" spans="1:14" x14ac:dyDescent="0.2">
      <c r="A42" s="13"/>
      <c r="B42" s="13"/>
      <c r="C42" s="13"/>
      <c r="D42" s="13"/>
    </row>
    <row r="43" spans="1:14" x14ac:dyDescent="0.2">
      <c r="H43" s="13"/>
      <c r="I43" s="13"/>
      <c r="J43" s="13"/>
      <c r="K43" s="13"/>
    </row>
    <row r="45" spans="1:14" x14ac:dyDescent="0.2">
      <c r="N45" s="13"/>
    </row>
    <row r="48" spans="1:14" x14ac:dyDescent="0.2">
      <c r="A48" s="13"/>
      <c r="B48" s="13"/>
      <c r="C48" s="13"/>
      <c r="D48" s="13"/>
      <c r="I48" s="13"/>
      <c r="J48" s="13"/>
      <c r="K48" s="13"/>
    </row>
    <row r="51" spans="5:14" x14ac:dyDescent="0.2">
      <c r="F51" s="13"/>
    </row>
    <row r="53" spans="5:14" x14ac:dyDescent="0.2">
      <c r="E53" s="13"/>
    </row>
    <row r="54" spans="5:14" x14ac:dyDescent="0.2">
      <c r="I54" s="13"/>
      <c r="J54" s="13"/>
      <c r="K54" s="13"/>
      <c r="L54" s="13"/>
      <c r="M54" s="13"/>
    </row>
    <row r="61" spans="5:14" x14ac:dyDescent="0.2">
      <c r="I61" s="13"/>
      <c r="J61" s="13"/>
      <c r="K61" s="13"/>
      <c r="L61" s="13"/>
      <c r="M61" s="13"/>
      <c r="N61" s="13"/>
    </row>
  </sheetData>
  <mergeCells count="1">
    <mergeCell ref="F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1A-B left</vt:lpstr>
      <vt:lpstr>1A-B right</vt:lpstr>
      <vt:lpstr>1F</vt:lpstr>
      <vt:lpstr>1G-H</vt:lpstr>
      <vt:lpstr>2B left</vt:lpstr>
      <vt:lpstr>2B right</vt:lpstr>
      <vt:lpstr>2C</vt:lpstr>
      <vt:lpstr>2E</vt:lpstr>
      <vt:lpstr>3A</vt:lpstr>
      <vt:lpstr>3E</vt:lpstr>
      <vt:lpstr>3F</vt:lpstr>
      <vt:lpstr>3G</vt:lpstr>
      <vt:lpstr>3H</vt:lpstr>
      <vt:lpstr>5B</vt:lpstr>
      <vt:lpstr>5D</vt:lpstr>
      <vt:lpstr>6A</vt:lpstr>
      <vt:lpstr>6B</vt:lpstr>
      <vt:lpstr>6C</vt:lpstr>
      <vt:lpstr>6D</vt:lpstr>
      <vt:lpstr>7A-B</vt:lpstr>
      <vt:lpstr>7C </vt:lpstr>
      <vt:lpstr>S1A</vt:lpstr>
      <vt:lpstr>S2C</vt:lpstr>
      <vt:lpstr>S2D</vt:lpstr>
      <vt:lpstr>S3F</vt:lpstr>
      <vt:lpstr>S5A</vt:lpstr>
      <vt:lpstr>S5B</vt:lpstr>
      <vt:lpstr>S5C</vt:lpstr>
      <vt:lpstr>S5 D-E</vt:lpstr>
      <vt:lpstr>S6B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</dc:creator>
  <cp:lastModifiedBy>Cynthia Alsayyah</cp:lastModifiedBy>
  <cp:lastPrinted>2019-05-16T16:49:09Z</cp:lastPrinted>
  <dcterms:created xsi:type="dcterms:W3CDTF">2019-04-23T15:10:16Z</dcterms:created>
  <dcterms:modified xsi:type="dcterms:W3CDTF">2024-03-11T19:13:53Z</dcterms:modified>
</cp:coreProperties>
</file>